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33687\Desktop\Dévelopenent Durable\Actifs fossiles\Données\"/>
    </mc:Choice>
  </mc:AlternateContent>
  <xr:revisionPtr revIDLastSave="0" documentId="8_{2CF5B295-22AC-4AE2-A518-73097C063166}" xr6:coauthVersionLast="47" xr6:coauthVersionMax="47" xr10:uidLastSave="{00000000-0000-0000-0000-000000000000}"/>
  <workbookProtection workbookAlgorithmName="SHA-512" workbookHashValue="41nPwMo7Zzok7oEBXGeAYq81VRhbdhwccMYDE9ClDOI3qQ9UCg9W5nhPV+eZz4aEsytj8vgD+7JYjGUi5GKvZA==" workbookSaltValue="Xx8cyQJhywSE+N0u7Hk2wg==" workbookSpinCount="100000" lockStructure="1"/>
  <bookViews>
    <workbookView xWindow="-120" yWindow="3090" windowWidth="24240" windowHeight="9930" xr2:uid="{2FE588BD-371D-7642-94E5-3C2340EC8186}"/>
  </bookViews>
  <sheets>
    <sheet name="Euro Zone Data" sheetId="22" r:id="rId1"/>
    <sheet name="€ Zone Details" sheetId="7" r:id="rId2"/>
    <sheet name="INT Zone Data" sheetId="27" r:id="rId3"/>
    <sheet name="INT Zone Details" sheetId="25" r:id="rId4"/>
    <sheet name="Industry breakdown" sheetId="23" r:id="rId5"/>
    <sheet name="Distribution Keys" sheetId="24" r:id="rId6"/>
    <sheet name="Particularités" sheetId="28" r:id="rId7"/>
    <sheet name="Sources EU" sheetId="3" r:id="rId8"/>
    <sheet name="Sources INT" sheetId="26" r:id="rId9"/>
  </sheets>
  <definedNames>
    <definedName name="_xlnm._FilterDatabase" localSheetId="5" hidden="1">'Distribution Keys'!$B$240:$G$240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22" l="1"/>
  <c r="O11" i="25"/>
  <c r="I9" i="7"/>
  <c r="I6" i="7"/>
  <c r="K6" i="22"/>
  <c r="L6" i="22"/>
  <c r="J6" i="22"/>
  <c r="I6" i="22"/>
  <c r="H6" i="22"/>
  <c r="G6" i="22"/>
  <c r="F6" i="22"/>
  <c r="E6" i="22"/>
  <c r="D6" i="22"/>
  <c r="C6" i="22"/>
  <c r="B6" i="22"/>
  <c r="L9" i="7"/>
  <c r="K9" i="7"/>
  <c r="J9" i="7"/>
  <c r="H9" i="7"/>
  <c r="G9" i="7"/>
  <c r="F9" i="7"/>
  <c r="E9" i="7"/>
  <c r="D9" i="7"/>
  <c r="C9" i="7"/>
  <c r="B9" i="7"/>
  <c r="E12" i="22"/>
  <c r="P5" i="25" l="1"/>
  <c r="H9" i="25"/>
  <c r="H6" i="25"/>
  <c r="H8" i="25"/>
  <c r="O7" i="25"/>
  <c r="I9" i="25"/>
  <c r="Q7" i="25"/>
  <c r="B9" i="25"/>
  <c r="C5" i="25"/>
  <c r="C8" i="25"/>
  <c r="C6" i="25"/>
  <c r="C4" i="25"/>
  <c r="C9" i="25" s="1"/>
  <c r="C6" i="27" s="1"/>
  <c r="C3" i="25"/>
  <c r="I6" i="27"/>
  <c r="H6" i="27"/>
  <c r="B6" i="27"/>
  <c r="J6" i="25"/>
  <c r="F6" i="25"/>
  <c r="B6" i="25"/>
  <c r="C3" i="27"/>
  <c r="N5" i="25"/>
  <c r="N4" i="25"/>
  <c r="K7" i="25"/>
  <c r="M7" i="25"/>
  <c r="J5" i="25"/>
  <c r="L5" i="25"/>
  <c r="L8" i="25"/>
  <c r="J7" i="7"/>
  <c r="N9" i="25" l="1"/>
  <c r="L6" i="27" s="1"/>
  <c r="C7" i="25"/>
  <c r="B8" i="25"/>
  <c r="B7" i="25"/>
  <c r="R5" i="25" l="1"/>
  <c r="R6" i="25" l="1"/>
  <c r="R3" i="25"/>
  <c r="L7" i="7" l="1"/>
  <c r="K7" i="7"/>
  <c r="I7" i="7"/>
  <c r="H6" i="7"/>
  <c r="H7" i="7" s="1"/>
  <c r="H5" i="7"/>
  <c r="C7" i="7"/>
  <c r="G7" i="7"/>
  <c r="F7" i="7"/>
  <c r="E7" i="7"/>
  <c r="B7" i="7"/>
  <c r="D7" i="7"/>
  <c r="D6" i="7"/>
  <c r="Q16" i="23"/>
  <c r="C176" i="24"/>
  <c r="Q15" i="23"/>
  <c r="C186" i="24"/>
  <c r="E181" i="24"/>
  <c r="E182" i="24"/>
  <c r="F182" i="24" s="1"/>
  <c r="E183" i="24"/>
  <c r="E184" i="24"/>
  <c r="F184" i="24" s="1"/>
  <c r="E185" i="24"/>
  <c r="E180" i="24"/>
  <c r="F180" i="24" s="1"/>
  <c r="E156" i="24"/>
  <c r="F156" i="24" s="1"/>
  <c r="E154" i="24"/>
  <c r="F154" i="24" s="1"/>
  <c r="E147" i="24"/>
  <c r="F147" i="24" s="1"/>
  <c r="E148" i="24"/>
  <c r="F148" i="24" s="1"/>
  <c r="E149" i="24"/>
  <c r="F149" i="24" s="1"/>
  <c r="E150" i="24"/>
  <c r="F150" i="24" s="1"/>
  <c r="E146" i="24"/>
  <c r="F146" i="24" s="1"/>
  <c r="Q38" i="23"/>
  <c r="F183" i="24" l="1"/>
  <c r="F185" i="24"/>
  <c r="F186" i="24" s="1"/>
  <c r="B15" i="23" s="1"/>
  <c r="R15" i="23" s="1"/>
  <c r="F181" i="24"/>
  <c r="B3" i="27"/>
  <c r="M11" i="25"/>
  <c r="E20" i="25"/>
  <c r="E10" i="27" s="1"/>
  <c r="E14" i="25"/>
  <c r="E10" i="25"/>
  <c r="E8" i="25"/>
  <c r="E6" i="25"/>
  <c r="E4" i="25"/>
  <c r="E9" i="25" s="1"/>
  <c r="E6" i="27" s="1"/>
  <c r="E3" i="25"/>
  <c r="C20" i="25"/>
  <c r="C10" i="27" s="1"/>
  <c r="C14" i="25"/>
  <c r="C10" i="25"/>
  <c r="K11" i="25"/>
  <c r="J11" i="25" s="1"/>
  <c r="L20" i="25"/>
  <c r="K10" i="27" s="1"/>
  <c r="J20" i="25"/>
  <c r="J10" i="27" s="1"/>
  <c r="R20" i="25"/>
  <c r="N10" i="27"/>
  <c r="L11" i="25"/>
  <c r="L14" i="25"/>
  <c r="L10" i="25"/>
  <c r="J14" i="25"/>
  <c r="J10" i="25"/>
  <c r="R14" i="25"/>
  <c r="J8" i="25"/>
  <c r="J5" i="27" s="1"/>
  <c r="R10" i="25"/>
  <c r="R8" i="25"/>
  <c r="N3" i="27"/>
  <c r="R4" i="25"/>
  <c r="L4" i="25"/>
  <c r="L9" i="25" s="1"/>
  <c r="K6" i="27" s="1"/>
  <c r="L6" i="25"/>
  <c r="K5" i="27"/>
  <c r="L3" i="25"/>
  <c r="K3" i="27" s="1"/>
  <c r="J4" i="25"/>
  <c r="J9" i="25" s="1"/>
  <c r="J6" i="27" s="1"/>
  <c r="J3" i="25"/>
  <c r="J3" i="27" s="1"/>
  <c r="N3" i="25"/>
  <c r="P3" i="25"/>
  <c r="M3" i="27" s="1"/>
  <c r="D10" i="27"/>
  <c r="F10" i="27"/>
  <c r="G10" i="27"/>
  <c r="H10" i="27"/>
  <c r="I10" i="27"/>
  <c r="B10" i="27"/>
  <c r="D3" i="27"/>
  <c r="E3" i="27"/>
  <c r="F3" i="27"/>
  <c r="G3" i="27"/>
  <c r="H3" i="27"/>
  <c r="I3" i="27"/>
  <c r="J7" i="25" l="1"/>
  <c r="R11" i="25"/>
  <c r="R9" i="25"/>
  <c r="N6" i="27" s="1"/>
  <c r="R7" i="25"/>
  <c r="L7" i="25"/>
  <c r="K4" i="27" s="1"/>
  <c r="J4" i="27"/>
  <c r="J7" i="27"/>
  <c r="E7" i="25"/>
  <c r="P20" i="25"/>
  <c r="M10" i="27" s="1"/>
  <c r="P4" i="25"/>
  <c r="P9" i="25" s="1"/>
  <c r="M6" i="27" s="1"/>
  <c r="P6" i="25"/>
  <c r="P7" i="25" s="1"/>
  <c r="P8" i="25"/>
  <c r="M5" i="27" s="1"/>
  <c r="P10" i="25"/>
  <c r="Q14" i="25"/>
  <c r="P14" i="25" s="1"/>
  <c r="N20" i="25"/>
  <c r="L10" i="27" s="1"/>
  <c r="O10" i="27" s="1"/>
  <c r="N14" i="25"/>
  <c r="N8" i="25"/>
  <c r="L5" i="27" s="1"/>
  <c r="N10" i="25"/>
  <c r="N6" i="25"/>
  <c r="L3" i="27"/>
  <c r="O3" i="27" s="1"/>
  <c r="N11" i="25"/>
  <c r="N7" i="25"/>
  <c r="L4" i="27" s="1"/>
  <c r="AS40" i="23"/>
  <c r="Q11" i="25" l="1"/>
  <c r="P11" i="25" s="1"/>
  <c r="M4" i="27"/>
  <c r="C5" i="24" l="1"/>
  <c r="L5" i="24"/>
  <c r="AS41" i="23"/>
  <c r="M10" i="23"/>
  <c r="B38" i="23"/>
  <c r="R38" i="23" s="1"/>
  <c r="D97" i="24"/>
  <c r="AN17" i="23"/>
  <c r="AK24" i="23"/>
  <c r="C126" i="24"/>
  <c r="C127" i="24" s="1"/>
  <c r="C125" i="24" s="1"/>
  <c r="B126" i="24"/>
  <c r="N5" i="27"/>
  <c r="E41" i="23"/>
  <c r="G41" i="23"/>
  <c r="I41" i="23"/>
  <c r="O41" i="23"/>
  <c r="U41" i="23"/>
  <c r="W41" i="23"/>
  <c r="Y41" i="23"/>
  <c r="AG41" i="23"/>
  <c r="AI41" i="23"/>
  <c r="AM41" i="23"/>
  <c r="AO41" i="23"/>
  <c r="AQ41" i="23"/>
  <c r="AU41" i="23"/>
  <c r="C41" i="23"/>
  <c r="AJ17" i="23"/>
  <c r="N4" i="27"/>
  <c r="I14" i="25"/>
  <c r="I8" i="25"/>
  <c r="I5" i="27" s="1"/>
  <c r="I6" i="25"/>
  <c r="I7" i="25" s="1"/>
  <c r="H14" i="25"/>
  <c r="H11" i="25" s="1"/>
  <c r="H5" i="27"/>
  <c r="H7" i="25" l="1"/>
  <c r="H4" i="27" s="1"/>
  <c r="I11" i="25"/>
  <c r="I4" i="27"/>
  <c r="B11" i="22"/>
  <c r="C128" i="24"/>
  <c r="F124" i="24" s="1"/>
  <c r="E123" i="24"/>
  <c r="F123" i="24" l="1"/>
  <c r="F128" i="24" s="1"/>
  <c r="B36" i="23" l="1"/>
  <c r="C133" i="24"/>
  <c r="B35" i="23" s="1"/>
  <c r="C137" i="24"/>
  <c r="B13" i="23" s="1"/>
  <c r="B14" i="7"/>
  <c r="B11" i="7"/>
  <c r="B8" i="7"/>
  <c r="C191" i="24" l="1"/>
  <c r="E191" i="24" s="1"/>
  <c r="L11" i="22" l="1"/>
  <c r="K11" i="22"/>
  <c r="J11" i="22"/>
  <c r="I11" i="22"/>
  <c r="H11" i="22"/>
  <c r="G11" i="22"/>
  <c r="F11" i="22"/>
  <c r="E11" i="22"/>
  <c r="D11" i="22"/>
  <c r="L10" i="22"/>
  <c r="K10" i="22"/>
  <c r="J10" i="22"/>
  <c r="I10" i="22"/>
  <c r="H10" i="22"/>
  <c r="G10" i="22"/>
  <c r="F10" i="22"/>
  <c r="E10" i="22"/>
  <c r="D10" i="22"/>
  <c r="C10" i="22"/>
  <c r="B10" i="22"/>
  <c r="M10" i="22" l="1"/>
  <c r="C46" i="24"/>
  <c r="E46" i="24" s="1"/>
  <c r="E16" i="24"/>
  <c r="E15" i="24"/>
  <c r="E11" i="25"/>
  <c r="E17" i="24" l="1"/>
  <c r="O18" i="25" l="1"/>
  <c r="N18" i="25" s="1"/>
  <c r="L8" i="27" s="1"/>
  <c r="Q18" i="25"/>
  <c r="P18" i="25" s="1"/>
  <c r="M8" i="27" s="1"/>
  <c r="D53" i="24"/>
  <c r="E53" i="24" s="1"/>
  <c r="F53" i="24" s="1"/>
  <c r="D52" i="24"/>
  <c r="E52" i="24" s="1"/>
  <c r="D65" i="24"/>
  <c r="E65" i="24" s="1"/>
  <c r="F65" i="24" s="1"/>
  <c r="D63" i="24"/>
  <c r="E63" i="24" s="1"/>
  <c r="F63" i="24" s="1"/>
  <c r="D60" i="24"/>
  <c r="E60" i="24" s="1"/>
  <c r="F60" i="24" s="1"/>
  <c r="D64" i="24"/>
  <c r="E64" i="24" s="1"/>
  <c r="F64" i="24" s="1"/>
  <c r="D58" i="24"/>
  <c r="E58" i="24" s="1"/>
  <c r="F58" i="24" s="1"/>
  <c r="D61" i="24"/>
  <c r="E61" i="24" s="1"/>
  <c r="F61" i="24" s="1"/>
  <c r="D59" i="24"/>
  <c r="E59" i="24" s="1"/>
  <c r="F59" i="24" s="1"/>
  <c r="D62" i="24"/>
  <c r="E62" i="24" s="1"/>
  <c r="F62" i="24" s="1"/>
  <c r="R18" i="25"/>
  <c r="N8" i="27" s="1"/>
  <c r="H18" i="25"/>
  <c r="H8" i="27" s="1"/>
  <c r="I18" i="25"/>
  <c r="I8" i="27" s="1"/>
  <c r="D72" i="24"/>
  <c r="D208" i="24"/>
  <c r="D80" i="24"/>
  <c r="D84" i="24"/>
  <c r="D73" i="24"/>
  <c r="D217" i="24"/>
  <c r="D206" i="24"/>
  <c r="D81" i="24"/>
  <c r="D85" i="24"/>
  <c r="D212" i="24"/>
  <c r="D205" i="24"/>
  <c r="D82" i="24"/>
  <c r="D79" i="24"/>
  <c r="D210" i="24"/>
  <c r="C97" i="24"/>
  <c r="D83" i="24"/>
  <c r="D78" i="24"/>
  <c r="F52" i="24" l="1"/>
  <c r="B11" i="23"/>
  <c r="F14" i="25"/>
  <c r="F11" i="25" s="1"/>
  <c r="F4" i="25"/>
  <c r="AE37" i="23"/>
  <c r="AF37" i="23" s="1"/>
  <c r="G8" i="25"/>
  <c r="G5" i="27" s="1"/>
  <c r="G6" i="25"/>
  <c r="G4" i="25"/>
  <c r="G9" i="25" s="1"/>
  <c r="G6" i="27" s="1"/>
  <c r="AA38" i="23"/>
  <c r="AA41" i="23" s="1"/>
  <c r="C11" i="25"/>
  <c r="S38" i="23"/>
  <c r="T38" i="23" s="1"/>
  <c r="G14" i="25"/>
  <c r="D14" i="25"/>
  <c r="D11" i="25" s="1"/>
  <c r="B14" i="25"/>
  <c r="F8" i="25"/>
  <c r="F5" i="27" s="1"/>
  <c r="E5" i="27"/>
  <c r="D8" i="25"/>
  <c r="D5" i="27" s="1"/>
  <c r="C5" i="27"/>
  <c r="B5" i="27"/>
  <c r="D6" i="25"/>
  <c r="D4" i="25"/>
  <c r="C20" i="7"/>
  <c r="C11" i="22" s="1"/>
  <c r="M11" i="22" s="1"/>
  <c r="K39" i="23"/>
  <c r="K38" i="23"/>
  <c r="F9" i="25" l="1"/>
  <c r="F6" i="27" s="1"/>
  <c r="F7" i="25"/>
  <c r="D9" i="25"/>
  <c r="D6" i="27" s="1"/>
  <c r="O6" i="27" s="1"/>
  <c r="D7" i="25"/>
  <c r="G7" i="25"/>
  <c r="O5" i="27"/>
  <c r="B18" i="25"/>
  <c r="B8" i="27" s="1"/>
  <c r="B4" i="27"/>
  <c r="K41" i="23"/>
  <c r="B11" i="25"/>
  <c r="L38" i="23"/>
  <c r="AB38" i="23"/>
  <c r="G11" i="25"/>
  <c r="AE34" i="23"/>
  <c r="AE41" i="23" s="1"/>
  <c r="B34" i="23"/>
  <c r="H34" i="23" s="1"/>
  <c r="AF17" i="23"/>
  <c r="L5" i="22"/>
  <c r="L3" i="22"/>
  <c r="AC29" i="23"/>
  <c r="AC41" i="23" s="1"/>
  <c r="C108" i="24"/>
  <c r="L11" i="7"/>
  <c r="L6" i="7"/>
  <c r="L4" i="22" s="1"/>
  <c r="B6" i="7"/>
  <c r="B18" i="7" l="1"/>
  <c r="G18" i="25"/>
  <c r="G8" i="27" s="1"/>
  <c r="G4" i="27"/>
  <c r="E18" i="25"/>
  <c r="E8" i="27" s="1"/>
  <c r="E4" i="27"/>
  <c r="F18" i="25"/>
  <c r="F8" i="27" s="1"/>
  <c r="F4" i="27"/>
  <c r="C18" i="25"/>
  <c r="C8" i="27" s="1"/>
  <c r="C4" i="27"/>
  <c r="D18" i="25"/>
  <c r="D8" i="27" s="1"/>
  <c r="D4" i="27"/>
  <c r="D162" i="24"/>
  <c r="E162" i="24" s="1"/>
  <c r="AF34" i="23"/>
  <c r="L18" i="7"/>
  <c r="L8" i="22" s="1"/>
  <c r="C34" i="24"/>
  <c r="O4" i="27" l="1"/>
  <c r="B8" i="22"/>
  <c r="H5" i="22"/>
  <c r="I5" i="22"/>
  <c r="B5" i="22"/>
  <c r="B4" i="22"/>
  <c r="F3" i="22"/>
  <c r="G3" i="22"/>
  <c r="H3" i="22"/>
  <c r="I3" i="22"/>
  <c r="J3" i="22"/>
  <c r="K3" i="22"/>
  <c r="E3" i="22"/>
  <c r="D3" i="22"/>
  <c r="K11" i="7"/>
  <c r="K8" i="7"/>
  <c r="K5" i="22" s="1"/>
  <c r="K6" i="7"/>
  <c r="K4" i="22" s="1"/>
  <c r="M39" i="23"/>
  <c r="M21" i="23"/>
  <c r="S29" i="23"/>
  <c r="S41" i="23" s="1"/>
  <c r="F97" i="24"/>
  <c r="F96" i="24"/>
  <c r="F95" i="24"/>
  <c r="M41" i="23" l="1"/>
  <c r="K18" i="7"/>
  <c r="K8" i="22" s="1"/>
  <c r="F98" i="24"/>
  <c r="B20" i="23" s="1"/>
  <c r="Q41" i="23" l="1"/>
  <c r="B33" i="23"/>
  <c r="C24" i="24"/>
  <c r="B32" i="23"/>
  <c r="H17" i="23"/>
  <c r="D8" i="23"/>
  <c r="J20" i="23"/>
  <c r="E10" i="24"/>
  <c r="E11" i="24"/>
  <c r="E9" i="24"/>
  <c r="F115" i="24"/>
  <c r="F145" i="24"/>
  <c r="F144" i="24"/>
  <c r="C386" i="24"/>
  <c r="E368" i="24"/>
  <c r="E359" i="24"/>
  <c r="E350" i="24"/>
  <c r="D303" i="24"/>
  <c r="E303" i="24" s="1"/>
  <c r="E302" i="24"/>
  <c r="E282" i="24"/>
  <c r="E269" i="24"/>
  <c r="E263" i="24"/>
  <c r="E261" i="24"/>
  <c r="E252" i="24"/>
  <c r="E250" i="24"/>
  <c r="E245" i="24"/>
  <c r="E244" i="24"/>
  <c r="E243" i="24"/>
  <c r="E241" i="24"/>
  <c r="F213" i="24"/>
  <c r="F207" i="24"/>
  <c r="E217" i="24"/>
  <c r="F217" i="24" s="1"/>
  <c r="E212" i="24"/>
  <c r="F212" i="24" s="1"/>
  <c r="E210" i="24"/>
  <c r="F210" i="24" s="1"/>
  <c r="E208" i="24"/>
  <c r="F208" i="24" s="1"/>
  <c r="E206" i="24"/>
  <c r="F206" i="24" s="1"/>
  <c r="E205" i="24"/>
  <c r="F205" i="24" s="1"/>
  <c r="E85" i="24"/>
  <c r="F85" i="24" s="1"/>
  <c r="E84" i="24"/>
  <c r="F84" i="24" s="1"/>
  <c r="E83" i="24"/>
  <c r="F83" i="24" s="1"/>
  <c r="E82" i="24"/>
  <c r="F82" i="24" s="1"/>
  <c r="E81" i="24"/>
  <c r="F81" i="24" s="1"/>
  <c r="E80" i="24"/>
  <c r="F80" i="24" s="1"/>
  <c r="E79" i="24"/>
  <c r="F79" i="24" s="1"/>
  <c r="E78" i="24"/>
  <c r="F78" i="24" s="1"/>
  <c r="E73" i="24"/>
  <c r="F73" i="24" s="1"/>
  <c r="E72" i="24"/>
  <c r="F72" i="24" s="1"/>
  <c r="C96" i="24" l="1"/>
  <c r="D113" i="24"/>
  <c r="E113" i="24" s="1"/>
  <c r="F113" i="24" s="1"/>
  <c r="F118" i="24" s="1"/>
  <c r="E22" i="24"/>
  <c r="C33" i="24"/>
  <c r="C36" i="24" s="1"/>
  <c r="D35" i="24" s="1"/>
  <c r="F35" i="24" s="1"/>
  <c r="C23" i="24"/>
  <c r="H33" i="23"/>
  <c r="B7" i="23"/>
  <c r="AH7" i="23" s="1"/>
  <c r="E32" i="24"/>
  <c r="C25" i="24"/>
  <c r="D32" i="23"/>
  <c r="F243" i="24"/>
  <c r="F157" i="24"/>
  <c r="F282" i="24"/>
  <c r="F245" i="24"/>
  <c r="F263" i="24"/>
  <c r="F241" i="24"/>
  <c r="F303" i="24"/>
  <c r="F350" i="24"/>
  <c r="F368" i="24"/>
  <c r="F250" i="24"/>
  <c r="F269" i="24"/>
  <c r="F244" i="24"/>
  <c r="F261" i="24"/>
  <c r="F302" i="24"/>
  <c r="F359" i="24"/>
  <c r="F252" i="24"/>
  <c r="F226" i="24"/>
  <c r="E226" i="24"/>
  <c r="D33" i="24" l="1"/>
  <c r="F33" i="24" s="1"/>
  <c r="D163" i="24"/>
  <c r="E163" i="24" s="1"/>
  <c r="E164" i="24" s="1"/>
  <c r="B30" i="23" s="1"/>
  <c r="C192" i="24"/>
  <c r="E192" i="24" s="1"/>
  <c r="E193" i="24" s="1"/>
  <c r="F193" i="24" s="1"/>
  <c r="B31" i="23" s="1"/>
  <c r="AF31" i="23" s="1"/>
  <c r="B12" i="23"/>
  <c r="C169" i="24"/>
  <c r="C171" i="24" s="1"/>
  <c r="D23" i="24"/>
  <c r="D22" i="24"/>
  <c r="J7" i="23"/>
  <c r="B29" i="23"/>
  <c r="D24" i="24"/>
  <c r="F24" i="24" s="1"/>
  <c r="F227" i="24"/>
  <c r="B23" i="23"/>
  <c r="B22" i="23"/>
  <c r="F386" i="24"/>
  <c r="B14" i="23" l="1"/>
  <c r="Z14" i="23" s="1"/>
  <c r="AB12" i="23"/>
  <c r="AT12" i="23"/>
  <c r="AP22" i="23"/>
  <c r="AT22" i="23"/>
  <c r="AJ23" i="23"/>
  <c r="AR23" i="23"/>
  <c r="F22" i="24"/>
  <c r="D96" i="24"/>
  <c r="D77" i="24"/>
  <c r="E77" i="24" s="1"/>
  <c r="D57" i="24"/>
  <c r="E57" i="24" s="1"/>
  <c r="F23" i="24"/>
  <c r="D95" i="24"/>
  <c r="AN29" i="23"/>
  <c r="AP29" i="23"/>
  <c r="D32" i="24"/>
  <c r="F32" i="24" s="1"/>
  <c r="D34" i="24"/>
  <c r="F34" i="24" s="1"/>
  <c r="J13" i="23"/>
  <c r="AJ13" i="23"/>
  <c r="H35" i="23"/>
  <c r="P12" i="23"/>
  <c r="T12" i="23"/>
  <c r="D36" i="23"/>
  <c r="L12" i="23"/>
  <c r="AD12" i="23"/>
  <c r="R12" i="23"/>
  <c r="C231" i="24"/>
  <c r="B24" i="23" s="1"/>
  <c r="X12" i="23"/>
  <c r="B21" i="23"/>
  <c r="Z13" i="23"/>
  <c r="AH13" i="23"/>
  <c r="AF13" i="23"/>
  <c r="V29" i="23"/>
  <c r="AD22" i="23"/>
  <c r="P29" i="23"/>
  <c r="X29" i="23"/>
  <c r="AD29" i="23"/>
  <c r="F29" i="23"/>
  <c r="Z22" i="23"/>
  <c r="AB22" i="23"/>
  <c r="T29" i="23"/>
  <c r="AB29" i="23"/>
  <c r="B39" i="23"/>
  <c r="B40" i="23" s="1"/>
  <c r="L29" i="23"/>
  <c r="B25" i="23"/>
  <c r="C391" i="24"/>
  <c r="B27" i="23" s="1"/>
  <c r="V22" i="23"/>
  <c r="X22" i="23"/>
  <c r="T22" i="23"/>
  <c r="R22" i="23"/>
  <c r="P22" i="23"/>
  <c r="L22" i="23"/>
  <c r="H22" i="23"/>
  <c r="F22" i="23"/>
  <c r="D22" i="23"/>
  <c r="G14" i="7"/>
  <c r="AR14" i="23" l="1"/>
  <c r="B16" i="23"/>
  <c r="R16" i="23" s="1"/>
  <c r="AT40" i="23"/>
  <c r="AP40" i="23"/>
  <c r="F36" i="24"/>
  <c r="B10" i="23" s="1"/>
  <c r="AR25" i="23"/>
  <c r="AT25" i="23"/>
  <c r="F25" i="24"/>
  <c r="B9" i="23" s="1"/>
  <c r="AV40" i="23"/>
  <c r="AR40" i="23"/>
  <c r="F57" i="24"/>
  <c r="F66" i="24" s="1"/>
  <c r="E66" i="24"/>
  <c r="F77" i="24"/>
  <c r="F86" i="24" s="1"/>
  <c r="E86" i="24"/>
  <c r="AN25" i="23"/>
  <c r="AP25" i="23"/>
  <c r="AV21" i="23"/>
  <c r="AN21" i="23"/>
  <c r="AV25" i="23"/>
  <c r="B26" i="23"/>
  <c r="AJ26" i="23" s="1"/>
  <c r="AJ41" i="23" s="1"/>
  <c r="I12" i="25" s="1"/>
  <c r="I13" i="25" s="1"/>
  <c r="N21" i="23"/>
  <c r="J21" i="23"/>
  <c r="AF25" i="23"/>
  <c r="AF21" i="23"/>
  <c r="AH21" i="23"/>
  <c r="AH41" i="23" s="1"/>
  <c r="H12" i="25" s="1"/>
  <c r="H13" i="25" s="1"/>
  <c r="N39" i="23"/>
  <c r="L39" i="23"/>
  <c r="AB25" i="23"/>
  <c r="AD25" i="23"/>
  <c r="H27" i="23"/>
  <c r="X25" i="23"/>
  <c r="Z25" i="23"/>
  <c r="V25" i="23"/>
  <c r="T25" i="23"/>
  <c r="L25" i="23"/>
  <c r="N25" i="23"/>
  <c r="F25" i="23"/>
  <c r="P25" i="23"/>
  <c r="R25" i="23"/>
  <c r="B28" i="23"/>
  <c r="AR28" i="23" s="1"/>
  <c r="J14" i="7"/>
  <c r="AT41" i="23" l="1"/>
  <c r="Q12" i="25" s="1"/>
  <c r="P12" i="25" s="1"/>
  <c r="P13" i="25" s="1"/>
  <c r="B19" i="23"/>
  <c r="B18" i="23"/>
  <c r="AR18" i="23" s="1"/>
  <c r="AR41" i="23" s="1"/>
  <c r="O12" i="25" s="1"/>
  <c r="AF41" i="23"/>
  <c r="G12" i="25" s="1"/>
  <c r="G13" i="25" s="1"/>
  <c r="F28" i="23"/>
  <c r="V9" i="23"/>
  <c r="N10" i="23"/>
  <c r="Q13" i="25" l="1"/>
  <c r="O13" i="25"/>
  <c r="N12" i="25"/>
  <c r="N13" i="25" s="1"/>
  <c r="AV18" i="23"/>
  <c r="AV41" i="23" s="1"/>
  <c r="R12" i="25" s="1"/>
  <c r="R13" i="25" s="1"/>
  <c r="AD18" i="23"/>
  <c r="AD41" i="23" s="1"/>
  <c r="D12" i="25" s="1"/>
  <c r="D13" i="25" s="1"/>
  <c r="D18" i="23"/>
  <c r="D41" i="23" s="1"/>
  <c r="B12" i="7" s="1"/>
  <c r="B13" i="7" s="1"/>
  <c r="L18" i="23"/>
  <c r="L41" i="23" s="1"/>
  <c r="F12" i="7" s="1"/>
  <c r="J18" i="23"/>
  <c r="J41" i="23" s="1"/>
  <c r="E12" i="7" s="1"/>
  <c r="AP18" i="23"/>
  <c r="AP41" i="23" s="1"/>
  <c r="Z18" i="23"/>
  <c r="Z41" i="23" s="1"/>
  <c r="B12" i="25" s="1"/>
  <c r="B13" i="25" s="1"/>
  <c r="X18" i="23"/>
  <c r="X41" i="23" s="1"/>
  <c r="L12" i="7" s="1"/>
  <c r="L13" i="7" s="1"/>
  <c r="T18" i="23"/>
  <c r="T41" i="23" s="1"/>
  <c r="J12" i="7" s="1"/>
  <c r="H18" i="23"/>
  <c r="H41" i="23" s="1"/>
  <c r="D12" i="7" s="1"/>
  <c r="AN18" i="23"/>
  <c r="AN41" i="23" s="1"/>
  <c r="V18" i="23"/>
  <c r="V41" i="23" s="1"/>
  <c r="K12" i="7" s="1"/>
  <c r="K13" i="7" s="1"/>
  <c r="R18" i="23"/>
  <c r="R41" i="23" s="1"/>
  <c r="I12" i="7" s="1"/>
  <c r="F18" i="23"/>
  <c r="F41" i="23" s="1"/>
  <c r="C12" i="7" s="1"/>
  <c r="AB18" i="23"/>
  <c r="AB41" i="23" s="1"/>
  <c r="P18" i="23"/>
  <c r="P41" i="23" s="1"/>
  <c r="H12" i="7" s="1"/>
  <c r="N41" i="23"/>
  <c r="G12" i="7" s="1"/>
  <c r="E11" i="7"/>
  <c r="F11" i="7"/>
  <c r="G11" i="7"/>
  <c r="H11" i="7"/>
  <c r="I11" i="7"/>
  <c r="J11" i="7"/>
  <c r="C11" i="7"/>
  <c r="D11" i="7"/>
  <c r="H18" i="7"/>
  <c r="H8" i="22" s="1"/>
  <c r="J6" i="7"/>
  <c r="J18" i="7" s="1"/>
  <c r="C12" i="25" l="1"/>
  <c r="C13" i="25" s="1"/>
  <c r="K18" i="25"/>
  <c r="J18" i="25" s="1"/>
  <c r="J8" i="27" s="1"/>
  <c r="K12" i="25"/>
  <c r="E13" i="7"/>
  <c r="M18" i="25"/>
  <c r="L18" i="25" s="1"/>
  <c r="K8" i="27" s="1"/>
  <c r="M12" i="25"/>
  <c r="J13" i="7"/>
  <c r="C13" i="7"/>
  <c r="H4" i="22"/>
  <c r="J8" i="22"/>
  <c r="J4" i="22"/>
  <c r="J8" i="7"/>
  <c r="J5" i="22" s="1"/>
  <c r="G6" i="7"/>
  <c r="G18" i="7" s="1"/>
  <c r="G8" i="7"/>
  <c r="G5" i="22" s="1"/>
  <c r="F8" i="7"/>
  <c r="F5" i="22" s="1"/>
  <c r="F6" i="7"/>
  <c r="F18" i="7" s="1"/>
  <c r="C6" i="7"/>
  <c r="D18" i="7"/>
  <c r="C8" i="7"/>
  <c r="C5" i="22" s="1"/>
  <c r="E8" i="7"/>
  <c r="E5" i="22" s="1"/>
  <c r="E6" i="7"/>
  <c r="E18" i="7" s="1"/>
  <c r="D8" i="7"/>
  <c r="D5" i="22" s="1"/>
  <c r="I18" i="7"/>
  <c r="M5" i="22" l="1"/>
  <c r="M6" i="22"/>
  <c r="O8" i="27"/>
  <c r="J12" i="25"/>
  <c r="J13" i="25" s="1"/>
  <c r="K13" i="25"/>
  <c r="L12" i="25"/>
  <c r="L13" i="25" s="1"/>
  <c r="M13" i="25"/>
  <c r="I8" i="22"/>
  <c r="I4" i="22"/>
  <c r="F8" i="22"/>
  <c r="F4" i="22"/>
  <c r="E8" i="22"/>
  <c r="E4" i="22"/>
  <c r="D8" i="22"/>
  <c r="D4" i="22"/>
  <c r="G8" i="22"/>
  <c r="G4" i="22"/>
  <c r="C3" i="7"/>
  <c r="C3" i="22" s="1"/>
  <c r="M3" i="22" s="1"/>
  <c r="I13" i="7"/>
  <c r="F13" i="7"/>
  <c r="G13" i="7"/>
  <c r="D13" i="7"/>
  <c r="H13" i="7"/>
  <c r="C18" i="7"/>
  <c r="U13" i="25" l="1"/>
  <c r="M13" i="7"/>
  <c r="C8" i="22"/>
  <c r="M8" i="22" s="1"/>
  <c r="C4" i="22"/>
  <c r="M4" i="22" s="1"/>
  <c r="M15" i="25" l="1"/>
  <c r="R15" i="25"/>
  <c r="R16" i="25" s="1"/>
  <c r="K15" i="25"/>
  <c r="Q15" i="25"/>
  <c r="O15" i="25"/>
  <c r="S13" i="25"/>
  <c r="E15" i="25" s="1"/>
  <c r="E12" i="25"/>
  <c r="E13" i="25" s="1"/>
  <c r="B15" i="7"/>
  <c r="B16" i="7" s="1"/>
  <c r="B17" i="7" s="1"/>
  <c r="B19" i="7" s="1"/>
  <c r="B9" i="22" s="1"/>
  <c r="K15" i="7"/>
  <c r="K16" i="7" s="1"/>
  <c r="H15" i="7"/>
  <c r="H16" i="7" s="1"/>
  <c r="J15" i="7"/>
  <c r="J16" i="7" s="1"/>
  <c r="F15" i="7"/>
  <c r="F16" i="7" s="1"/>
  <c r="E15" i="7"/>
  <c r="E16" i="7" s="1"/>
  <c r="I15" i="7"/>
  <c r="I16" i="7" s="1"/>
  <c r="C15" i="7"/>
  <c r="C16" i="7" s="1"/>
  <c r="C17" i="7" s="1"/>
  <c r="G15" i="7"/>
  <c r="G16" i="7" s="1"/>
  <c r="D15" i="7"/>
  <c r="D16" i="7" s="1"/>
  <c r="L15" i="7"/>
  <c r="L16" i="7" s="1"/>
  <c r="P15" i="25" l="1"/>
  <c r="Q16" i="25"/>
  <c r="O16" i="25"/>
  <c r="N15" i="25"/>
  <c r="L15" i="25"/>
  <c r="M16" i="25"/>
  <c r="C15" i="25"/>
  <c r="D15" i="25"/>
  <c r="D17" i="7"/>
  <c r="K17" i="7"/>
  <c r="H17" i="7"/>
  <c r="G17" i="7"/>
  <c r="E17" i="7"/>
  <c r="L17" i="7"/>
  <c r="I17" i="7"/>
  <c r="F17" i="7"/>
  <c r="J17" i="7"/>
  <c r="N16" i="25" l="1"/>
  <c r="O17" i="25"/>
  <c r="L16" i="25"/>
  <c r="L17" i="25" s="1"/>
  <c r="M17" i="25"/>
  <c r="M19" i="25" s="1"/>
  <c r="M21" i="25" s="1"/>
  <c r="K11" i="27" s="1"/>
  <c r="Q17" i="25"/>
  <c r="P16" i="25"/>
  <c r="C19" i="7"/>
  <c r="C9" i="22" s="1"/>
  <c r="C7" i="22"/>
  <c r="L19" i="7"/>
  <c r="L9" i="22" s="1"/>
  <c r="L7" i="22"/>
  <c r="G19" i="7"/>
  <c r="G9" i="22" s="1"/>
  <c r="G7" i="22"/>
  <c r="K7" i="22"/>
  <c r="K19" i="7"/>
  <c r="K9" i="22" s="1"/>
  <c r="J19" i="7"/>
  <c r="J9" i="22" s="1"/>
  <c r="J7" i="22"/>
  <c r="F19" i="7"/>
  <c r="F9" i="22" s="1"/>
  <c r="F7" i="22"/>
  <c r="B7" i="22"/>
  <c r="I7" i="22"/>
  <c r="I19" i="7"/>
  <c r="I9" i="22" s="1"/>
  <c r="E19" i="7"/>
  <c r="E7" i="22"/>
  <c r="H7" i="22"/>
  <c r="H19" i="7"/>
  <c r="H9" i="22" s="1"/>
  <c r="D19" i="7"/>
  <c r="D9" i="22" s="1"/>
  <c r="D7" i="22"/>
  <c r="L19" i="25" l="1"/>
  <c r="K7" i="27"/>
  <c r="O19" i="25"/>
  <c r="N17" i="25"/>
  <c r="L7" i="27" s="1"/>
  <c r="Q19" i="25"/>
  <c r="P17" i="25"/>
  <c r="M7" i="27" s="1"/>
  <c r="E9" i="22"/>
  <c r="M9" i="22" s="1"/>
  <c r="M12" i="22" s="1"/>
  <c r="E21" i="7"/>
  <c r="M7" i="22"/>
  <c r="K21" i="7"/>
  <c r="K12" i="22" s="1"/>
  <c r="I21" i="7"/>
  <c r="I12" i="22" s="1"/>
  <c r="H21" i="7"/>
  <c r="H12" i="22" s="1"/>
  <c r="F21" i="7"/>
  <c r="F12" i="22" s="1"/>
  <c r="L21" i="7"/>
  <c r="L12" i="22" s="1"/>
  <c r="D21" i="7"/>
  <c r="D12" i="22" s="1"/>
  <c r="B21" i="7"/>
  <c r="B12" i="22" s="1"/>
  <c r="J21" i="7"/>
  <c r="J12" i="22" s="1"/>
  <c r="G21" i="7"/>
  <c r="G12" i="22" s="1"/>
  <c r="C21" i="7"/>
  <c r="C12" i="22" s="1"/>
  <c r="AL24" i="23"/>
  <c r="AK30" i="23"/>
  <c r="AL30" i="23" s="1"/>
  <c r="AK11" i="23"/>
  <c r="AL11" i="23" s="1"/>
  <c r="N19" i="25" l="1"/>
  <c r="O21" i="25"/>
  <c r="Q21" i="25"/>
  <c r="P19" i="25"/>
  <c r="K9" i="27"/>
  <c r="L21" i="25"/>
  <c r="AL41" i="23"/>
  <c r="F12" i="25" s="1"/>
  <c r="P21" i="25" l="1"/>
  <c r="M11" i="27" s="1"/>
  <c r="M9" i="27"/>
  <c r="N21" i="25"/>
  <c r="L11" i="27" s="1"/>
  <c r="L9" i="27"/>
  <c r="F13" i="25"/>
  <c r="T13" i="25" s="1"/>
  <c r="I15" i="25" s="1"/>
  <c r="R17" i="25"/>
  <c r="N7" i="27" s="1"/>
  <c r="B15" i="25"/>
  <c r="B16" i="25" s="1"/>
  <c r="B17" i="25" s="1"/>
  <c r="C16" i="25"/>
  <c r="C17" i="25" s="1"/>
  <c r="E16" i="25"/>
  <c r="E17" i="25" s="1"/>
  <c r="D16" i="25"/>
  <c r="D17" i="25" s="1"/>
  <c r="G15" i="25" l="1"/>
  <c r="G16" i="25" s="1"/>
  <c r="G17" i="25" s="1"/>
  <c r="H15" i="25"/>
  <c r="H16" i="25" s="1"/>
  <c r="H17" i="25" s="1"/>
  <c r="F15" i="25"/>
  <c r="F16" i="25" s="1"/>
  <c r="F17" i="25" s="1"/>
  <c r="I16" i="25"/>
  <c r="I17" i="25" s="1"/>
  <c r="B19" i="25"/>
  <c r="B7" i="27"/>
  <c r="D19" i="25"/>
  <c r="D7" i="27"/>
  <c r="E19" i="25"/>
  <c r="E7" i="27"/>
  <c r="C19" i="25"/>
  <c r="C7" i="27"/>
  <c r="R19" i="25"/>
  <c r="J15" i="25" l="1"/>
  <c r="K16" i="25"/>
  <c r="K17" i="25" s="1"/>
  <c r="K19" i="25" s="1"/>
  <c r="F19" i="25"/>
  <c r="F7" i="27"/>
  <c r="H19" i="25"/>
  <c r="H7" i="27"/>
  <c r="I19" i="25"/>
  <c r="I7" i="27"/>
  <c r="C21" i="25"/>
  <c r="C11" i="27" s="1"/>
  <c r="C9" i="27"/>
  <c r="D21" i="25"/>
  <c r="D11" i="27" s="1"/>
  <c r="D9" i="27"/>
  <c r="E21" i="25"/>
  <c r="E11" i="27" s="1"/>
  <c r="E9" i="27"/>
  <c r="B21" i="25"/>
  <c r="B11" i="27" s="1"/>
  <c r="B9" i="27"/>
  <c r="G19" i="25"/>
  <c r="G7" i="27"/>
  <c r="R21" i="25"/>
  <c r="N11" i="27" s="1"/>
  <c r="N9" i="27"/>
  <c r="O7" i="27" l="1"/>
  <c r="K21" i="25"/>
  <c r="J16" i="25"/>
  <c r="J17" i="25" s="1"/>
  <c r="J19" i="25" s="1"/>
  <c r="J9" i="27" s="1"/>
  <c r="G21" i="25"/>
  <c r="G11" i="27" s="1"/>
  <c r="G9" i="27"/>
  <c r="H21" i="25"/>
  <c r="H11" i="27" s="1"/>
  <c r="H9" i="27"/>
  <c r="I21" i="25"/>
  <c r="I11" i="27" s="1"/>
  <c r="I9" i="27"/>
  <c r="F21" i="25"/>
  <c r="F11" i="27" s="1"/>
  <c r="F9" i="27"/>
  <c r="O9" i="27" l="1"/>
  <c r="O11" i="27" s="1"/>
  <c r="J21" i="25"/>
  <c r="J11" i="27" s="1"/>
</calcChain>
</file>

<file path=xl/sharedStrings.xml><?xml version="1.0" encoding="utf-8"?>
<sst xmlns="http://schemas.openxmlformats.org/spreadsheetml/2006/main" count="1475" uniqueCount="829">
  <si>
    <t>Data 2019 in bn €</t>
  </si>
  <si>
    <t>BNP
Paribas</t>
  </si>
  <si>
    <t>Crédit 
Agricole</t>
  </si>
  <si>
    <t>Société 
Générale</t>
  </si>
  <si>
    <t>BPCE</t>
  </si>
  <si>
    <t>Deutsche 
Bank</t>
  </si>
  <si>
    <t>Commerzbank</t>
  </si>
  <si>
    <t>Intesa 
Sanpaolo</t>
  </si>
  <si>
    <t>UniCredit</t>
  </si>
  <si>
    <t>Santander</t>
  </si>
  <si>
    <t>BBVA</t>
  </si>
  <si>
    <t>ING 
Group</t>
  </si>
  <si>
    <t>Total</t>
  </si>
  <si>
    <t>Total assets</t>
  </si>
  <si>
    <t>Total investment assets</t>
  </si>
  <si>
    <t>Total credit assets</t>
  </si>
  <si>
    <t>Total other assets</t>
  </si>
  <si>
    <t>Fossil assets (credit)</t>
  </si>
  <si>
    <t>Fossil assets (investment)</t>
  </si>
  <si>
    <t>Total fossil assets</t>
  </si>
  <si>
    <t>Fossil assets created in 2019</t>
  </si>
  <si>
    <t>Equity</t>
  </si>
  <si>
    <t>Ratio fossil assets / equity</t>
  </si>
  <si>
    <t>Exchange rate $ = € en 2019</t>
  </si>
  <si>
    <t>BNP Paribas</t>
  </si>
  <si>
    <t>Crédit Agricole</t>
  </si>
  <si>
    <t>Société Générale</t>
  </si>
  <si>
    <t>Deutsche Bank</t>
  </si>
  <si>
    <t>Intesa Sanpaolo</t>
  </si>
  <si>
    <t>ING Group</t>
  </si>
  <si>
    <t>Total assets (balance sheet)</t>
  </si>
  <si>
    <t>Total 'cash Central Banks' (balance sheet)</t>
  </si>
  <si>
    <t>Total 'REPO' (balance sheet)</t>
  </si>
  <si>
    <t>Total investment assets (balance sheet)</t>
  </si>
  <si>
    <t>Total investment asset w/o central banks w/o 37,5% REPO (balance sheet)</t>
  </si>
  <si>
    <t>Total credit asset (balance sheet)</t>
  </si>
  <si>
    <t>Total other assets (balance sheet)</t>
  </si>
  <si>
    <t>Total exposure (pillar)</t>
  </si>
  <si>
    <t>Total exposure without industry 'Banking and Insurance' (pillar)</t>
  </si>
  <si>
    <t>Fossil assets with distribution key (pillar)</t>
  </si>
  <si>
    <t>Average European rate</t>
  </si>
  <si>
    <t>Weight of fossil assets in the exposure amount without the banking and insurance sector (pillar 3)</t>
  </si>
  <si>
    <t>Exposure amount 'Banking and Insurance' (pillar)</t>
  </si>
  <si>
    <t>Weight of fossil assets in the exposure amount 'Banks and insurances' (multiplied by average rate)</t>
  </si>
  <si>
    <t>Total fossil assets (pillar)</t>
  </si>
  <si>
    <t>Fossil assets in the credit part (balance sheet)</t>
  </si>
  <si>
    <t xml:space="preserve">Fossil assets in the portofolio (balance sheet) </t>
  </si>
  <si>
    <t>For information : total green assets</t>
  </si>
  <si>
    <t>Data 2019 in bn $</t>
  </si>
  <si>
    <t>HSBC</t>
  </si>
  <si>
    <t>Barclays</t>
  </si>
  <si>
    <t>UBS</t>
  </si>
  <si>
    <t>Crédit Suisse</t>
  </si>
  <si>
    <t>Citigroup</t>
  </si>
  <si>
    <t>JPMC</t>
  </si>
  <si>
    <t>Bank of 
America ML</t>
  </si>
  <si>
    <t>Wells Fargo</t>
  </si>
  <si>
    <t>ICBC</t>
  </si>
  <si>
    <t>CCBC</t>
  </si>
  <si>
    <t>ABC</t>
  </si>
  <si>
    <t>BoC</t>
  </si>
  <si>
    <t>MUFG</t>
  </si>
  <si>
    <t>$</t>
  </si>
  <si>
    <t>Million RMB / K£</t>
  </si>
  <si>
    <t>Million RMB</t>
  </si>
  <si>
    <t>Data 2019 in bn</t>
  </si>
  <si>
    <t>Bank of America ML</t>
  </si>
  <si>
    <t>Total investment asset w/o central banks w/o 37,5% of repos (balance sheet)</t>
  </si>
  <si>
    <t>Moyenne Eur</t>
  </si>
  <si>
    <t>Moyenne USA</t>
  </si>
  <si>
    <t>Moyenne Asie</t>
  </si>
  <si>
    <t>Exchange rate $ = RMB en 2019</t>
  </si>
  <si>
    <t>Exchange rate $ = Yen en 2019</t>
  </si>
  <si>
    <t>Exchange rate $ = CHF en 2019</t>
  </si>
  <si>
    <t>Exchange rate $ = £ en 2019</t>
  </si>
  <si>
    <t>Exchange rate $ = €</t>
  </si>
  <si>
    <t>Fossil assets per industries</t>
  </si>
  <si>
    <t>Mds de €</t>
  </si>
  <si>
    <t>Mds de $</t>
  </si>
  <si>
    <t>Mds de £</t>
  </si>
  <si>
    <t>milliers de £</t>
  </si>
  <si>
    <t>milliers de Mds de Y</t>
  </si>
  <si>
    <t>BNP PARIBAS</t>
  </si>
  <si>
    <t>CREDIT AGRICOLE</t>
  </si>
  <si>
    <t>SOCIETE GENERALE</t>
  </si>
  <si>
    <t>DEUTSCHE BANK</t>
  </si>
  <si>
    <t>COMMERZBANK</t>
  </si>
  <si>
    <t>INTESA SANPAOLO</t>
  </si>
  <si>
    <t>UNICREDIT</t>
  </si>
  <si>
    <t>SANTANDER</t>
  </si>
  <si>
    <t>ING GROUP</t>
  </si>
  <si>
    <t>BARCLAYS</t>
  </si>
  <si>
    <t>BANK of AMERICA</t>
  </si>
  <si>
    <t>WELLS FARGO</t>
  </si>
  <si>
    <t>CITIGROUP</t>
  </si>
  <si>
    <t>CCB</t>
  </si>
  <si>
    <t>URD (p.334)</t>
  </si>
  <si>
    <t>Pillar lll (p.124)</t>
  </si>
  <si>
    <t>Pillar lll (p.112)</t>
  </si>
  <si>
    <t>Pillar lll (p.56)</t>
  </si>
  <si>
    <t>Pillar lll (p.51)</t>
  </si>
  <si>
    <t>Pillar lll (p.80)</t>
  </si>
  <si>
    <t>Pillar lll (p.72)</t>
  </si>
  <si>
    <t>Pillar lll (p.71)</t>
  </si>
  <si>
    <t>Pillar lll (p.50)</t>
  </si>
  <si>
    <t>Pillar lll</t>
  </si>
  <si>
    <t>Form 10K</t>
  </si>
  <si>
    <t>Commercial commited</t>
  </si>
  <si>
    <t>Pillar lll 2019 Branche UK (p. 22)</t>
  </si>
  <si>
    <t>Pillar lll 2015 Branche UK (p. 10)</t>
  </si>
  <si>
    <t>URD p.28</t>
  </si>
  <si>
    <t>Pillar p.38</t>
  </si>
  <si>
    <t>Pillar 3 p.22</t>
  </si>
  <si>
    <t>Fields</t>
  </si>
  <si>
    <t>Key</t>
  </si>
  <si>
    <t>Total Field</t>
  </si>
  <si>
    <t>Fossil assets part</t>
  </si>
  <si>
    <t>Energy</t>
  </si>
  <si>
    <t>Energy excl. Electricity</t>
  </si>
  <si>
    <t>Energy supply</t>
  </si>
  <si>
    <t>Energy &amp; Water supply</t>
  </si>
  <si>
    <t>Energy &amp; Commodities</t>
  </si>
  <si>
    <t>Electricity, Gas, Steam &amp; Air conditioning supply</t>
  </si>
  <si>
    <t>Utilities</t>
  </si>
  <si>
    <t>Mining/Oil extraction</t>
  </si>
  <si>
    <t>Mining/Coal/Gas extraction</t>
  </si>
  <si>
    <t>Oil</t>
  </si>
  <si>
    <t>Oil &amp; Gas</t>
  </si>
  <si>
    <t>Construction</t>
  </si>
  <si>
    <t>Construction &amp; Water supply</t>
  </si>
  <si>
    <t>Electrical and Mechanical construction</t>
  </si>
  <si>
    <t>Transport</t>
  </si>
  <si>
    <t>Transport &amp; Storage</t>
  </si>
  <si>
    <t>Transport &amp; Logistics</t>
  </si>
  <si>
    <t>Transportation &amp; Industrials</t>
  </si>
  <si>
    <t>Manufacturing</t>
  </si>
  <si>
    <t>Equipment, Machinery and parts Manufacturing</t>
  </si>
  <si>
    <t>Machinery &amp; Equipment</t>
  </si>
  <si>
    <t>Production &amp; Distribution</t>
  </si>
  <si>
    <t>Mining &amp; Quarrying</t>
  </si>
  <si>
    <t>Power, chemicals, metals &amp; mining</t>
  </si>
  <si>
    <t>Metals &amp; Mining</t>
  </si>
  <si>
    <t>Minerals, Metals &amp; Materials</t>
  </si>
  <si>
    <t>Metals, Minerals</t>
  </si>
  <si>
    <t>Chemicals &amp; Plastics</t>
  </si>
  <si>
    <t>Collective services</t>
  </si>
  <si>
    <t>Services to public authorities (elec., gas, water)</t>
  </si>
  <si>
    <t>SPEs</t>
  </si>
  <si>
    <t>Other (Santander + DB + UC)</t>
  </si>
  <si>
    <t>Other services (EU)</t>
  </si>
  <si>
    <t>Other services (INT)</t>
  </si>
  <si>
    <t>TOTAL</t>
  </si>
  <si>
    <t xml:space="preserve"> </t>
  </si>
  <si>
    <t>ENERGY</t>
  </si>
  <si>
    <t>SOURCES</t>
  </si>
  <si>
    <t>Weight of Energy in the MSCI Europe Index (2019)</t>
  </si>
  <si>
    <t>MSCI Europe Index</t>
  </si>
  <si>
    <t>Weight of Energy in the MSCI USA Index (2019)</t>
  </si>
  <si>
    <t>MSCI USA Index</t>
  </si>
  <si>
    <t>Weight of fossil fuels in the MSCI Europe Index</t>
  </si>
  <si>
    <t>Weight of energy in the MSCI Europe Index (2020) multiplied by the weight of fossil fuels in the total primary energy consumption (World)</t>
  </si>
  <si>
    <t>Weight of fossil fuels in the MSCI USAIndex</t>
  </si>
  <si>
    <t>Pourcentage, 2018</t>
  </si>
  <si>
    <t>Europe</t>
  </si>
  <si>
    <t>World</t>
  </si>
  <si>
    <t>Average Europe / World</t>
  </si>
  <si>
    <t>SOURCES (EUROPE)</t>
  </si>
  <si>
    <t>SOURCES (WORLD)</t>
  </si>
  <si>
    <t>Weight of fossil fuels in electricity</t>
  </si>
  <si>
    <t> IEA : indicator of energy in Europe (2018)</t>
  </si>
  <si>
    <t>IEA : indicator of energy - World (2018)</t>
  </si>
  <si>
    <t>Weight of electricity in energy consumption</t>
  </si>
  <si>
    <t xml:space="preserve">IEA    et : </t>
  </si>
  <si>
    <t>WIKIPEDIA</t>
  </si>
  <si>
    <t>Weight of fossil fuels in total primary energy consumption</t>
  </si>
  <si>
    <t>FOSSIL INVESTMENT ASSET RATIO</t>
  </si>
  <si>
    <t>Weight</t>
  </si>
  <si>
    <t xml:space="preserve">Weight of fossil assets in European finance (only large capitalization) </t>
  </si>
  <si>
    <t>Proportion of compagnies classified as fossil assets in the NACE taxonomy in European non-bank bonds</t>
  </si>
  <si>
    <t>Proportion of fossil assets companies in the totality of European companies (via NACE taxonomy)</t>
  </si>
  <si>
    <t xml:space="preserve">Weight of fossil fuels in the economy. Our study is based on the financial side of fossil assets (and less the economical side) ; cautious hypothesis </t>
  </si>
  <si>
    <t>Because we don't find equivalent data of the number of compagnies in the fossil industries for USA and Asia, we take the same key for all banks, although we know that Europe products and consums less fossils than other regions</t>
  </si>
  <si>
    <t>PRODUCTION &amp; DISTRIBUTION (ENERGY)</t>
  </si>
  <si>
    <t>Turnover</t>
  </si>
  <si>
    <t>Proportion</t>
  </si>
  <si>
    <t>Moyenne Europe-Monde</t>
  </si>
  <si>
    <t>PRODUCTION</t>
  </si>
  <si>
    <t>DISTRIBUTION (fossil energy)</t>
  </si>
  <si>
    <t>Weight of fossil fuels in distribution</t>
  </si>
  <si>
    <t>DISTRIBUTION (elec.)</t>
  </si>
  <si>
    <t>Weight of electricity in distribution</t>
  </si>
  <si>
    <t>TOTAL PRODUCTION &amp; DISTRIBUTION</t>
  </si>
  <si>
    <t>61542 = 90% of EDF &amp; GDF turnovers (French companies)</t>
  </si>
  <si>
    <t>14479 = Enedis turnover (French company)</t>
  </si>
  <si>
    <t>ENERGY &amp; WATER SUPPLY (CommerzBank)</t>
  </si>
  <si>
    <t>% Monde / Europe</t>
  </si>
  <si>
    <t>Explanation</t>
  </si>
  <si>
    <t>PRODUCTION (energy)</t>
  </si>
  <si>
    <t>DISTRIBUTION (energy excl. elec.)</t>
  </si>
  <si>
    <t>DISTRIBUTION (elec…)</t>
  </si>
  <si>
    <t>DISTRIBUTION WATER EUROPE</t>
  </si>
  <si>
    <t xml:space="preserve">https://www.eureau.org/resources/publications/1460-eureau-data-report-2017-1/file </t>
  </si>
  <si>
    <t>35 billion euros = annual water distribution (domestic use + other) in Europe</t>
  </si>
  <si>
    <t>ENERGY &amp; COMMODITIES</t>
  </si>
  <si>
    <t>Distribution key</t>
  </si>
  <si>
    <t>Commodities</t>
  </si>
  <si>
    <t>CONSTRUCTION BNP PARIBAS</t>
  </si>
  <si>
    <t>Field</t>
  </si>
  <si>
    <t>Amount</t>
  </si>
  <si>
    <t>Weighted amount</t>
  </si>
  <si>
    <t>Construction of residential and non-residential buildings (total 4 363 716, divisé par 2)</t>
  </si>
  <si>
    <t>Weight of fossil fuels in the economy (amount divided by 2 for 'non-residential')</t>
  </si>
  <si>
    <t>Development of building projects</t>
  </si>
  <si>
    <t>Weight of fossil fuels in the economy</t>
  </si>
  <si>
    <t>Construction of bridges and tunnels</t>
  </si>
  <si>
    <t> </t>
  </si>
  <si>
    <t>Construction of other civil engineering projects n.e.c.</t>
  </si>
  <si>
    <t>Other specialised construction activities n.e.c.</t>
  </si>
  <si>
    <t>Electrical installation</t>
  </si>
  <si>
    <t>81% for production of elec. (19% for distribution of elec.) and then we apply 46,7% (fossil energy mix in electricity of BNP URD p.530)</t>
  </si>
  <si>
    <t>Floor and wall covering</t>
  </si>
  <si>
    <t>Other construction installation</t>
  </si>
  <si>
    <t>Plumbing, heat and air-conditioning installation</t>
  </si>
  <si>
    <t>Other building completion and finishing</t>
  </si>
  <si>
    <t>Site preparation</t>
  </si>
  <si>
    <t>Painting and glazing</t>
  </si>
  <si>
    <t>Test drilling and boring</t>
  </si>
  <si>
    <t>Construction of water projects</t>
  </si>
  <si>
    <t>TOTAL CONSTRUCTION</t>
  </si>
  <si>
    <t>CONSTRUCTION</t>
  </si>
  <si>
    <t>81% for production of elec. / 19% for distribution of elec. and we apply 52% ( production of fossil energy in electricity (avg world / europe))</t>
  </si>
  <si>
    <t>ELECTRICAL &amp; MECHANICAL CONSTRUCTION</t>
  </si>
  <si>
    <t>Mechanical construction: includes elements of infrastructure, plants and machines, tools and components, heating and ventilation, etc.</t>
  </si>
  <si>
    <t>Electronics construction: includes power supply and distribution, telecommunications, computers equipments, control systems, and so on etc.</t>
  </si>
  <si>
    <t>Part</t>
  </si>
  <si>
    <t>total</t>
  </si>
  <si>
    <t>Weight with key</t>
  </si>
  <si>
    <t>Electrical and Mechanical construction* de BPCE total</t>
  </si>
  <si>
    <t xml:space="preserve">Electrical construction distribution </t>
  </si>
  <si>
    <t>The distribution key is 0% because electricity distribution is not impacted by fossil fuels</t>
  </si>
  <si>
    <t xml:space="preserve">Electrical construction production </t>
  </si>
  <si>
    <t>For the key of 52.39% we considered the proportion of fossil fuels in the electricity production mix: an average between the European and the world level to reflect the presence of BPCE in the world. Source IEA</t>
  </si>
  <si>
    <t>Mechanical construction</t>
  </si>
  <si>
    <t>For the key of 4,62% we consider the part of energy in the economy</t>
  </si>
  <si>
    <t>MINERALS, METALS, MATERIALS</t>
  </si>
  <si>
    <t>5% Means of production to be upgraded over time</t>
  </si>
  <si>
    <t>Today, production depends on fossil fuels, but not in the long term (there are alternatives). When the transition to clean energy occurs, this sub-sector will still lose value. Assets used for fossil assets transport and storage</t>
  </si>
  <si>
    <t>METALS, MATERIALS</t>
  </si>
  <si>
    <t>Similar to "Minerals, Metals &amp; Materials" key</t>
  </si>
  <si>
    <t>ELECTRICITY, GAS, STEAM AND AIR CONDITIONING SUPPLY</t>
  </si>
  <si>
    <t>Production of electricity</t>
  </si>
  <si>
    <t>Weight of fossil fuels in electricity (World)</t>
  </si>
  <si>
    <t>Distribution of electricity</t>
  </si>
  <si>
    <t>Distribution of gaseous fuels through mains</t>
  </si>
  <si>
    <t>Completely included in the scope of the study</t>
  </si>
  <si>
    <t>Transmission of electricity</t>
  </si>
  <si>
    <t>Steam and air conditioning supply</t>
  </si>
  <si>
    <t>TOTAL ELECTRICITY, GAS, STEAM AND AIR CONDITIONING SUPPLY</t>
  </si>
  <si>
    <t>SERVICES TO PUBLIC AUTHORITIES (elec., gas, water)</t>
  </si>
  <si>
    <t>&gt; we built this key with the 'electricity, gas, steam and air conditioning'  distribition key</t>
  </si>
  <si>
    <t>Weight of fossil fuels in BNP electric mix (source : p.530 URD)</t>
  </si>
  <si>
    <t>Water</t>
  </si>
  <si>
    <t>In order to determine the share of water in this sector of BNP, we take the share of "gas, steam and..." and assume that each of these sub-sectors is equally important, including water. We assume that all these sectors have the same weight, as we have not found any additional information on this subject.</t>
  </si>
  <si>
    <t>Other crédits</t>
  </si>
  <si>
    <t>COLLECTIVE SERVICES</t>
  </si>
  <si>
    <t>Similar to 'electricity, gas, steam and air conditioning supply (including water)'</t>
  </si>
  <si>
    <t xml:space="preserve">UTILITIES </t>
  </si>
  <si>
    <t xml:space="preserve">Utilities </t>
  </si>
  <si>
    <t>MINING AND QUARRYING</t>
  </si>
  <si>
    <t>Extraction of crude petroleum</t>
  </si>
  <si>
    <t>Support activities for petroleum and natural gas extraction</t>
  </si>
  <si>
    <t>Mining of other non-ferrous metal ores</t>
  </si>
  <si>
    <t>Today, mining depends on fossil fuels but not on the long term (there are alternatives). When the transition to clean energy occurs, this sub-sector will still lose value. Assets used for fossil assets transport and storage</t>
  </si>
  <si>
    <t>Extraction of natural gas</t>
  </si>
  <si>
    <t>Mining of hard coal</t>
  </si>
  <si>
    <t>Mining of iron ores</t>
  </si>
  <si>
    <t>Other mining and quarrying n.e.c.</t>
  </si>
  <si>
    <t>Support activities for other mining and quarrying</t>
  </si>
  <si>
    <t>Operation of gravel and sand pits; mining of clays and kaolin</t>
  </si>
  <si>
    <t>Quarrying of ornamental and building stone, limestone, gypsum, chalk and slate</t>
  </si>
  <si>
    <t>Mining of lignite</t>
  </si>
  <si>
    <t>Mining of chemical and fertiliser minerals</t>
  </si>
  <si>
    <t>Mining of uranium and thorium ores</t>
  </si>
  <si>
    <t>TOTAL MINING AND QUARRYING</t>
  </si>
  <si>
    <t>POWER, CHEMICALS, METALS &amp; MINING</t>
  </si>
  <si>
    <t>Distribution Key</t>
  </si>
  <si>
    <t>Metals, Chemicals</t>
  </si>
  <si>
    <t>Power, mining</t>
  </si>
  <si>
    <t>Similar to "Mining &amp; Quarrying" key</t>
  </si>
  <si>
    <t>MINING/OIL EXTRACTION</t>
  </si>
  <si>
    <t>Mining</t>
  </si>
  <si>
    <t>Similar to "Mining &amp; Quarrying"  key</t>
  </si>
  <si>
    <t>Oil extraction</t>
  </si>
  <si>
    <t>OIL (UniCredit)</t>
  </si>
  <si>
    <t>We include the "Oil" part from the "Mining/Oil extraction' key because they provide us the 'Mining' data</t>
  </si>
  <si>
    <t>MINING/COAL/GAS EXTRACTION (UniCredit)</t>
  </si>
  <si>
    <t xml:space="preserve"> Mining of hard coal</t>
  </si>
  <si>
    <t xml:space="preserve"> Mining of lignite</t>
  </si>
  <si>
    <t xml:space="preserve"> Extraction of crude petroleum</t>
  </si>
  <si>
    <t xml:space="preserve"> Extraction of natural gas</t>
  </si>
  <si>
    <t xml:space="preserve"> Support activities for petroleum and natural gas extraction</t>
  </si>
  <si>
    <t xml:space="preserve"> Mining of other non ferrous metal ores</t>
  </si>
  <si>
    <t>TOTAL Mining/Coal/Gas extraction</t>
  </si>
  <si>
    <t>METALS &amp; MINING</t>
  </si>
  <si>
    <t>Metals</t>
  </si>
  <si>
    <t>Divided by 2 so that there is no duplication with Oil &amp; Gas</t>
  </si>
  <si>
    <t>CHEMICALS &amp; PLASTICS</t>
  </si>
  <si>
    <t>Today, production depends on fossil fuels, but not on the long term (there are alternatives). When the transition to clean energy occurs, this sub-sector will still lose value. Assets used for fossil assets transport and storage</t>
  </si>
  <si>
    <t>TRANSPORT &amp; STORAGE // TRANSPORT</t>
  </si>
  <si>
    <t>Sea and coastal freight water transport</t>
  </si>
  <si>
    <t>Freight transport by road</t>
  </si>
  <si>
    <t>Transport via pipeline</t>
  </si>
  <si>
    <t>Service activities incidental to land transportation</t>
  </si>
  <si>
    <t>Passenger air transport</t>
  </si>
  <si>
    <t>Service activities incidental to water transportation</t>
  </si>
  <si>
    <t>Other transportation support activities</t>
  </si>
  <si>
    <t>Freight rail transport</t>
  </si>
  <si>
    <t>Warehousing and storage</t>
  </si>
  <si>
    <t>Energy is considered to account for half of the total.</t>
  </si>
  <si>
    <t>Cargo handling</t>
  </si>
  <si>
    <t>Service activities incidental to air transportation</t>
  </si>
  <si>
    <t>Other passenger land transport n.e.c.</t>
  </si>
  <si>
    <t>Inland freight water transport</t>
  </si>
  <si>
    <t>Other postal and courier activities</t>
  </si>
  <si>
    <t>Space transport</t>
  </si>
  <si>
    <t>Removal services</t>
  </si>
  <si>
    <t>Taxi operation</t>
  </si>
  <si>
    <t>Urban and suburban passenger land transport</t>
  </si>
  <si>
    <t>Sea and coastal passenger water transport</t>
  </si>
  <si>
    <t>Freight air transport</t>
  </si>
  <si>
    <t>Inland passenger water transport</t>
  </si>
  <si>
    <t>TOTAL TRANSPORTATION AND STORAGE</t>
  </si>
  <si>
    <t>TOTAL TRANSPORT</t>
  </si>
  <si>
    <t>TRANSPORTATION &amp; INDUSTRIALS</t>
  </si>
  <si>
    <t>Average of "Transport" &amp; "Manufacturing" keys</t>
  </si>
  <si>
    <t>OTHER (Santander + DB)</t>
  </si>
  <si>
    <t xml:space="preserve">Mining &amp; Quarrying : low amount and no explanation from the banks --&gt; 5% subjective to be prudent </t>
  </si>
  <si>
    <t>MANUFACTURING</t>
  </si>
  <si>
    <t>Aluminium production</t>
  </si>
  <si>
    <t>Building of ships and floating structures</t>
  </si>
  <si>
    <t>Casting of iron</t>
  </si>
  <si>
    <t>Casting of other non-ferrous metals</t>
  </si>
  <si>
    <t>Casting of steel</t>
  </si>
  <si>
    <t>Cold drawing of wire</t>
  </si>
  <si>
    <t>Cold forming or folding</t>
  </si>
  <si>
    <t>Cutting, shaping and finishing of stone</t>
  </si>
  <si>
    <t>Distilling, rectifying and blending of spirits</t>
  </si>
  <si>
    <t>Forging, pressing, stamping and roll-forming of metal; powder metallurgy</t>
  </si>
  <si>
    <t>Machining</t>
  </si>
  <si>
    <t>Manufacture and processing of other glass, including technical glassware</t>
  </si>
  <si>
    <t>Manufacture of agricultural and forestry machinery</t>
  </si>
  <si>
    <t>Manufacture of air and spacecraft and related machinery</t>
  </si>
  <si>
    <t>Manufacture of batteries and accumulators</t>
  </si>
  <si>
    <t>Manufacture of bearings, gears, gearing and driving elements</t>
  </si>
  <si>
    <t>Manufacture of beer</t>
  </si>
  <si>
    <t>Manufacture of bodies (coachwork) for motor vehicles; manufacture of trailers and semi-trailers</t>
  </si>
  <si>
    <t>Manufacture of bread; manufacture of fresh pastry goods and cakes</t>
  </si>
  <si>
    <t>Manufacture of brooms and brushes</t>
  </si>
  <si>
    <t>Manufacture of builders ware of plastic</t>
  </si>
  <si>
    <t>Manufacture of carpets and rugs</t>
  </si>
  <si>
    <t>Manufacture of cement</t>
  </si>
  <si>
    <t>Manufacture of central heating radiators and boilers</t>
  </si>
  <si>
    <t>Manufacture of cocoa, chocolate and sugar confectionery</t>
  </si>
  <si>
    <t>Manufacture of coke oven products</t>
  </si>
  <si>
    <t>Manufacture of communication equipment</t>
  </si>
  <si>
    <t>Manufacture of computers and peripheral equipment</t>
  </si>
  <si>
    <t>Manufacture of concrete products for construction purposes</t>
  </si>
  <si>
    <t>Manufacture of condiments and seasonings</t>
  </si>
  <si>
    <t>Manufacture of consumer electronics</t>
  </si>
  <si>
    <t>Manufacture of cordage, rope, twine and netting</t>
  </si>
  <si>
    <t>Manufacture of corrugated paper and paperboard and of containers of paper and paperboard</t>
  </si>
  <si>
    <t>Manufacture of cutlery</t>
  </si>
  <si>
    <t>Manufacture of doors and windows of metal</t>
  </si>
  <si>
    <t>Manufacture of dyes and pigments</t>
  </si>
  <si>
    <t>Manufacture of electric lighting equipment</t>
  </si>
  <si>
    <t>Manufacture of electric motors, generators and transformers</t>
  </si>
  <si>
    <t>Manufacture of electricity distribution and control apparatus</t>
  </si>
  <si>
    <t>Manufacture of electronic components</t>
  </si>
  <si>
    <t>Manufacture of engines and turbines, except aircraft, vehicle and cycle engines</t>
  </si>
  <si>
    <t>Manufacture of explosives</t>
  </si>
  <si>
    <t>Manufacture of fertilisers and nitrogen compounds</t>
  </si>
  <si>
    <t>Manufacture of fibre optic cables</t>
  </si>
  <si>
    <t>Manufacture of flat glass</t>
  </si>
  <si>
    <t>Manufacture of fluid power equipment</t>
  </si>
  <si>
    <t>Manufacture of fruit and vegetable juice</t>
  </si>
  <si>
    <t>Manufacture of glues</t>
  </si>
  <si>
    <t>Manufacture of grain mill products</t>
  </si>
  <si>
    <t>Manufacture of household and sanitary goods and of toilet requisites</t>
  </si>
  <si>
    <t>Manufacture of ice cream</t>
  </si>
  <si>
    <t>Manufacture of industrial gases</t>
  </si>
  <si>
    <t>Manufacture of instruments and appliances for measuring, testing and navigation</t>
  </si>
  <si>
    <t>Manufacture of irradiation, electromedical and electrotherapeutic equipment</t>
  </si>
  <si>
    <t>Manufacture of kitchen furniture</t>
  </si>
  <si>
    <t>Manufacture of light metal packaging</t>
  </si>
  <si>
    <t>Manufacture of lime and plaster</t>
  </si>
  <si>
    <t>Manufacture of loaded electronic boards</t>
  </si>
  <si>
    <t>Manufacture of luggage, handbags and the like, saddlery and harness</t>
  </si>
  <si>
    <t>Manufacture of macaroni, noodles, couscous and similar farinaceous products</t>
  </si>
  <si>
    <t>Manufacture of machinery for food, beverage and tobacco processing</t>
  </si>
  <si>
    <t>Manufacture of machinery for metallurgy</t>
  </si>
  <si>
    <t>Manufacture of machinery for mining, quarrying and construction</t>
  </si>
  <si>
    <t>Average of "Mining &amp; Quarrying" &amp; "Construction" keys</t>
  </si>
  <si>
    <t>Manufacture of magnetic and optical media</t>
  </si>
  <si>
    <t>Manufacture of malt</t>
  </si>
  <si>
    <t>Manufacture of mattresses</t>
  </si>
  <si>
    <t>Manufacture of medical and dental instruments and supplies</t>
  </si>
  <si>
    <t>Manufacture of metal structures and parts of structures</t>
  </si>
  <si>
    <t>Manufacture of military fighting vehicles</t>
  </si>
  <si>
    <t>Manufacture of motor vehicles</t>
  </si>
  <si>
    <t>Manufacture of motorcycles</t>
  </si>
  <si>
    <t>Manufacture of musical instruments</t>
  </si>
  <si>
    <t>Manufacture of oils and fats</t>
  </si>
  <si>
    <t>Manufacture of optical instruments and photographic equipment</t>
  </si>
  <si>
    <t>Manufacture of other articles of concrete, plaster and cement</t>
  </si>
  <si>
    <t>Manufacture of other articles of paper and paperboard</t>
  </si>
  <si>
    <t>Manufacture of other chemical products nec</t>
  </si>
  <si>
    <t>Manufacture of other electrical equipment</t>
  </si>
  <si>
    <t>Manufacture of other electronic and electric wires and cables</t>
  </si>
  <si>
    <t>Manufacture of other fabricated metal products nec</t>
  </si>
  <si>
    <t>Manufacture of other food products nec</t>
  </si>
  <si>
    <t>Manufacture of other furniture</t>
  </si>
  <si>
    <t>Manufacture of other general-purpose machinery nec</t>
  </si>
  <si>
    <t>Manufacture of other inorganic basic chemicals</t>
  </si>
  <si>
    <t>Manufacture of other non-metallic mineral products nec</t>
  </si>
  <si>
    <t>Manufacture of other organic basic chemicals</t>
  </si>
  <si>
    <t>Manufacture of other parts and accessories for motor vehicles</t>
  </si>
  <si>
    <t>Manufacture of other plastic products</t>
  </si>
  <si>
    <t>Manufacture of other products of wood; manufacture of articles of cork, straw and plaiting materials</t>
  </si>
  <si>
    <t>Manufacture of other pumps and compressors</t>
  </si>
  <si>
    <t>Manufacture of other rubber products</t>
  </si>
  <si>
    <t>Manufacture of other special-purpose machinery nec</t>
  </si>
  <si>
    <t>Manufacture of other tanks, reservoirs and containers of metal</t>
  </si>
  <si>
    <t>Manufacture of other taps and valves</t>
  </si>
  <si>
    <t>Manufacture of other technical and industrial textiles</t>
  </si>
  <si>
    <t>Manufacture of other transport equipment nec</t>
  </si>
  <si>
    <t>Manufacture of other wearing apparel and accessories</t>
  </si>
  <si>
    <t>Manufacture of ovens, furnaces and furnace burners</t>
  </si>
  <si>
    <t>Manufacture of paints, varnishes and similar coatings, printing ink and mastics</t>
  </si>
  <si>
    <t>Manufacture of paper and paperboard</t>
  </si>
  <si>
    <t>Manufacture of perfumes and toilet preparations</t>
  </si>
  <si>
    <t>Manufacture of pesticides and other agrochemical products</t>
  </si>
  <si>
    <t>Manufacture of pharmaceutical preparations</t>
  </si>
  <si>
    <t>Manufacture of prepared feeds for farm animals</t>
  </si>
  <si>
    <t>Manufacture of prepared meals and dishes</t>
  </si>
  <si>
    <t>Manufacture of prepared pet foods</t>
  </si>
  <si>
    <t>Manufacture of pulp</t>
  </si>
  <si>
    <t>Manufacture of railway locomotives and rolling stock</t>
  </si>
  <si>
    <t>Manufacture of ready-mixed concrete</t>
  </si>
  <si>
    <t>Manufacture of refined petroleum products</t>
  </si>
  <si>
    <t>Manufacture of rubber tyres and tubes; retreading and rebuilding of rubber tyres</t>
  </si>
  <si>
    <t>Manufacture of rusks and biscuits; manufacture of preserved pastry goods and cakes</t>
  </si>
  <si>
    <t>Manufacture of soap and detergents, cleaning and polishing preparations</t>
  </si>
  <si>
    <t>Manufacture of soft drinks; production of mineral waters and other bottled waters</t>
  </si>
  <si>
    <t>Manufacture of sports goods</t>
  </si>
  <si>
    <t>Manufacture of sugar</t>
  </si>
  <si>
    <t>Manufacture of tobacco products</t>
  </si>
  <si>
    <t>Manufacture of tools</t>
  </si>
  <si>
    <t>Manufacture of tubes, pipes, hollow profiles and related fittings, of steel</t>
  </si>
  <si>
    <t>Not 100% because it doesn't concern only fossil fuels (and alternatives in the long term)</t>
  </si>
  <si>
    <t>Manufacture of veneer sheets and wood-based panels</t>
  </si>
  <si>
    <t>Manufacture of weapons and ammunition</t>
  </si>
  <si>
    <t>Manufacture of wine from grape</t>
  </si>
  <si>
    <t>Manufacture of wire products, chain and springs</t>
  </si>
  <si>
    <t>Manufacture of wiring devices</t>
  </si>
  <si>
    <t>Manufacture of wooden containers</t>
  </si>
  <si>
    <t>Operation of dairies and cheese making</t>
  </si>
  <si>
    <t>Other manufacturing nec</t>
  </si>
  <si>
    <t>Other non-ferrous metal production</t>
  </si>
  <si>
    <t>Other printing</t>
  </si>
  <si>
    <t>Other processing and preserving of fruit and vegetables</t>
  </si>
  <si>
    <t>Preparation and spinning of textile fibres</t>
  </si>
  <si>
    <t>Printing of newspapers</t>
  </si>
  <si>
    <t>Processing and preserving of meat</t>
  </si>
  <si>
    <t>Processing and preserving of potatoes</t>
  </si>
  <si>
    <t>Processing and preserving of poultry meat</t>
  </si>
  <si>
    <t>Processing of tea and coffee</t>
  </si>
  <si>
    <t>Production of abrasive products</t>
  </si>
  <si>
    <t>Production of meat and poultry meat products</t>
  </si>
  <si>
    <t>Repair and maintenance of ships and boats</t>
  </si>
  <si>
    <t>Repair of electronic and optical equipment</t>
  </si>
  <si>
    <t>Reproduction of recorded media</t>
  </si>
  <si>
    <t>Sawmilling and planing of wood</t>
  </si>
  <si>
    <t>Shaping and processing of flat glass</t>
  </si>
  <si>
    <t>Tanning and dressing of leather; dressing and dyeing of fur</t>
  </si>
  <si>
    <t>Treatment and coating of metals</t>
  </si>
  <si>
    <t>TOTAL MANUFACTURING</t>
  </si>
  <si>
    <t>MACHINERY &amp; EQUIPMENT</t>
  </si>
  <si>
    <t>Similar to "Manufacturing" key</t>
  </si>
  <si>
    <t>Particularités zone Europe</t>
  </si>
  <si>
    <t>Particularités zone International</t>
  </si>
  <si>
    <t xml:space="preserve">Equity : pour rappel, les fonds propres des banques qui ont été retenus sont les Core Equity Tiers 1 (CET1) fournit dans les rapports annuels ou le Pillar III (selon la banque), car ce sont les fonds propres les plus sécurisés, non déformés par les gestions de risques des banques. </t>
  </si>
  <si>
    <t>Santander : pas de ligne "Banking and insurance" dans le Pillar III, nous avons donc divisé le segment "others" en deux, au regard de son poids dans le total d'exposition des actifs (28,5%), bien plus importante que pour les autres banques. Une partie est donc assujettie au "banking and insurance", l'autre aux énergie fossiles avec une clé de répartition de 5% venant "compenser" l'opacité des autres segments comme par exemple "primary sector" (1,5%) qui comprend le "mining and quarrying".</t>
  </si>
  <si>
    <r>
      <rPr>
        <b/>
        <sz val="12"/>
        <color theme="1"/>
        <rFont val="Calibri"/>
        <family val="2"/>
        <scheme val="minor"/>
      </rPr>
      <t>ICBC, CCB, ABC et BoC</t>
    </r>
    <r>
      <rPr>
        <sz val="12"/>
        <color theme="1"/>
        <rFont val="Calibri"/>
        <family val="2"/>
        <scheme val="minor"/>
      </rPr>
      <t xml:space="preserve"> : Après de longues recherches sans résultat pour trouver la ventilation par industrie du total d'exposition des banques chinoises, nous avons décidé de nous contenter du pillar 3 des branches UK de ces dernières. Nos données finales sont donc différentes de la réalité au regard des disparités que nous supposons entre le portefeuille d'actifs UK de ces banques et celui au niveau corporate en Chine. </t>
    </r>
  </si>
  <si>
    <r>
      <rPr>
        <b/>
        <sz val="12"/>
        <color theme="1"/>
        <rFont val="Calibri"/>
        <family val="2"/>
        <scheme val="minor"/>
      </rPr>
      <t>CommerzBank</t>
    </r>
    <r>
      <rPr>
        <sz val="12"/>
        <color theme="1"/>
        <rFont val="Calibri"/>
        <family val="2"/>
        <scheme val="minor"/>
      </rPr>
      <t xml:space="preserve"> : N'ayant pas d'informations à ce sujet et pour rester neutre nous considèrons que "Transport &amp; telecommunication" contient 50% de Transport auquel nous appliquons la clé de répartition correspondante.</t>
    </r>
  </si>
  <si>
    <r>
      <rPr>
        <b/>
        <sz val="12"/>
        <color theme="1"/>
        <rFont val="Calibri"/>
        <family val="2"/>
        <scheme val="minor"/>
      </rPr>
      <t>ICBC, CCB, ABC et BoC</t>
    </r>
    <r>
      <rPr>
        <sz val="12"/>
        <color theme="1"/>
        <rFont val="Calibri"/>
        <family val="2"/>
        <scheme val="minor"/>
      </rPr>
      <t xml:space="preserve"> : Dans la même lignée du premier commentaire, l'opacité des banques chinoises est telle que nous avons du nous contenter de la dernière version du pillar 3 (UK) disponible (bien que parfois de 2018 ou 2015).</t>
    </r>
  </si>
  <si>
    <r>
      <rPr>
        <b/>
        <sz val="12"/>
        <color theme="1"/>
        <rFont val="Calibri"/>
        <family val="2"/>
        <scheme val="minor"/>
      </rPr>
      <t>Deutsche Bank</t>
    </r>
    <r>
      <rPr>
        <sz val="12"/>
        <color theme="1"/>
        <rFont val="Calibri"/>
        <family val="2"/>
        <scheme val="minor"/>
      </rPr>
      <t xml:space="preserve"> : Nous considèrons que le paquet "Others" renferme une part importante d'actifs bruns. Cependant la deutsche contient une clef "Mining &amp; Quarrying" c'est pourquoi nous n'appliquons pas l'intégralité du paquet à la clef "Others EU" mais 50% à celle-ci et 50% à la clef "Others" à 5%.</t>
    </r>
  </si>
  <si>
    <r>
      <rPr>
        <b/>
        <sz val="12"/>
        <color theme="1"/>
        <rFont val="Calibri"/>
        <family val="2"/>
        <scheme val="minor"/>
      </rPr>
      <t>Crédit Suisse</t>
    </r>
    <r>
      <rPr>
        <sz val="12"/>
        <color theme="1"/>
        <rFont val="Calibri"/>
        <family val="2"/>
        <scheme val="minor"/>
      </rPr>
      <t xml:space="preserve"> : Pas de "industry breakdown" détaillé, nous appliquons donc la moyenne européenne du poids des actifs fossiles dans l'exposition des banques aux quelques paquets indiqués car ceux-ci sont dans les mêmes proportions que ceux des banques européennes.</t>
    </r>
  </si>
  <si>
    <r>
      <rPr>
        <b/>
        <sz val="12"/>
        <color rgb="FF000000"/>
        <rFont val="Calibri"/>
        <family val="2"/>
        <scheme val="minor"/>
      </rPr>
      <t xml:space="preserve">Credit agricole </t>
    </r>
    <r>
      <rPr>
        <sz val="12"/>
        <color rgb="FF000000"/>
        <rFont val="Calibri"/>
        <family val="2"/>
        <scheme val="minor"/>
      </rPr>
      <t>: 54 de fonds propres car initialement nous trouvons 39 mds de FP dans l'URD mais CACSA posséde 25% des FP des caisses régionales. Les FP des caisses régionales est de 59 mds, nous avons pris 25% des 59 milliards soit 15 Mds d'euros. C'est pour ca que les FP du crédit agricole c'est 39 + 15 (25 % des FP des filiales)</t>
    </r>
  </si>
  <si>
    <r>
      <rPr>
        <b/>
        <sz val="12"/>
        <color rgb="FF000000"/>
        <rFont val="Calibri"/>
        <family val="2"/>
        <scheme val="minor"/>
      </rPr>
      <t xml:space="preserve">Citygroup : </t>
    </r>
    <r>
      <rPr>
        <sz val="12"/>
        <color rgb="FF000000"/>
        <rFont val="Calibri"/>
        <family val="2"/>
        <scheme val="minor"/>
      </rPr>
      <t>le document Form 10-K rapporte des données très approximatives (en pourcentage) et peu de secteurs d'exposition de crédit</t>
    </r>
  </si>
  <si>
    <r>
      <t xml:space="preserve">UniCredit : </t>
    </r>
    <r>
      <rPr>
        <sz val="12"/>
        <color rgb="FF000000"/>
        <rFont val="Calibri"/>
        <family val="2"/>
        <scheme val="minor"/>
      </rPr>
      <t xml:space="preserve">le montant du paquet "Other" est presque égal à 10% du montant total d'exposition (Société Générale le montant "Other" est 2x moins gros pour un montant total presque identitque. On lui retire le montant du Mining transmis par la banque et on applique 5% </t>
    </r>
  </si>
  <si>
    <r>
      <rPr>
        <b/>
        <sz val="12"/>
        <color theme="1"/>
        <rFont val="Calibri"/>
        <family val="2"/>
        <scheme val="minor"/>
      </rPr>
      <t>ICBC, CCB, ABC et BoC</t>
    </r>
    <r>
      <rPr>
        <sz val="12"/>
        <color theme="1"/>
        <rFont val="Calibri"/>
        <family val="2"/>
        <scheme val="minor"/>
      </rPr>
      <t xml:space="preserve"> : Nous constatons dans leurs bilans un écart entre le total du bilan affiché et les lignes aux bilans de toutes leurs activités. Pour compenser ce delta important, nous rajoutons le différenciel entre les deux montants dans notre section "other assets". </t>
    </r>
  </si>
  <si>
    <t>Data</t>
  </si>
  <si>
    <t>Page</t>
  </si>
  <si>
    <t>Document</t>
  </si>
  <si>
    <t>Source</t>
  </si>
  <si>
    <t>RAN</t>
  </si>
  <si>
    <t>New fossil bank assets since 2015</t>
  </si>
  <si>
    <t>RAN Analysis</t>
  </si>
  <si>
    <t>https://www.ran.org/bcc-2020-data-explorer/</t>
  </si>
  <si>
    <t>BNP</t>
  </si>
  <si>
    <t>BNPP - Assets (investment, credit, other)</t>
  </si>
  <si>
    <t>P.154</t>
  </si>
  <si>
    <t>URD</t>
  </si>
  <si>
    <t>https://invest.bnpparibas.com/sites/default/files/documents/bnp_paribas_2019_urd_fr_0.pdf</t>
  </si>
  <si>
    <t>BNPP - REPO</t>
  </si>
  <si>
    <t>p.154</t>
  </si>
  <si>
    <t xml:space="preserve">BNPP - Exposure </t>
  </si>
  <si>
    <t xml:space="preserve"> p.370</t>
  </si>
  <si>
    <t>BNPP - Fossil assets</t>
  </si>
  <si>
    <t>p.370</t>
  </si>
  <si>
    <t>BNPP - Equity</t>
  </si>
  <si>
    <t xml:space="preserve">p.301 et 302 </t>
  </si>
  <si>
    <t>BNPP - Green assets</t>
  </si>
  <si>
    <t>p.54</t>
  </si>
  <si>
    <t>Integrated report</t>
  </si>
  <si>
    <t>https://rapport-integre.bnpparibas/2019/assets/pdf/BNPParibas-RI19-FR.pdf</t>
  </si>
  <si>
    <t>BBVA - Assets (investment, credit, other)</t>
  </si>
  <si>
    <t>p.92</t>
  </si>
  <si>
    <t>https://shareholdersandinvestors.bbva.com/wp-content/uploads/2020/03/AnnualReport2019BBVAGroup_Eng-1.pdf</t>
  </si>
  <si>
    <t xml:space="preserve">BBVA - REPO </t>
  </si>
  <si>
    <t>p.337</t>
  </si>
  <si>
    <t xml:space="preserve">BBVA - Exposure </t>
  </si>
  <si>
    <t>p.50</t>
  </si>
  <si>
    <t>pillar 3</t>
  </si>
  <si>
    <t>https://accionistaseinversores.bbva.com/microsites/pilarIII2019/en/bank-risk-profile/index.html</t>
  </si>
  <si>
    <t>BBVA - Fossil assets</t>
  </si>
  <si>
    <t>https://accionistaseinversores.bbva.com/microsites/pilarIII2019/assets/docs/pillar-iii-2019-chapter-3-i.pdf</t>
  </si>
  <si>
    <t>BBVA - Equity</t>
  </si>
  <si>
    <t xml:space="preserve">p.95 </t>
  </si>
  <si>
    <t>BBVA - Green assets</t>
  </si>
  <si>
    <t>Paragraph 2</t>
  </si>
  <si>
    <t xml:space="preserve">BBVA site </t>
  </si>
  <si>
    <t>https://www.bbva.com/en/tr/garanti-bbva-securities-facilitates-major-deal-in-turkish-wind-energy-market/</t>
  </si>
  <si>
    <t>CA</t>
  </si>
  <si>
    <t>CA - Assets (investment, credit, other)</t>
  </si>
  <si>
    <t>p.318</t>
  </si>
  <si>
    <t xml:space="preserve">URD </t>
  </si>
  <si>
    <t>https://www.credit-agricole.com/en/pdfPreview/180684</t>
  </si>
  <si>
    <t>CA - REPO</t>
  </si>
  <si>
    <t>p.382</t>
  </si>
  <si>
    <t xml:space="preserve">CA - Exposure </t>
  </si>
  <si>
    <t>p.344</t>
  </si>
  <si>
    <t>file:///home/chronos/u-f01bd6ac209c972eae0ca99b540a98b553e5ef51/MyFiles/Downloads/Actifs%20bruns/CASA_URD2019_FR_MEL.pdf</t>
  </si>
  <si>
    <t>CA - Fossil assets</t>
  </si>
  <si>
    <t>p.303</t>
  </si>
  <si>
    <r>
      <t>We added 15 billions to the previous 39 billions (of common equity) because it is 25% of common equity</t>
    </r>
    <r>
      <rPr>
        <b/>
        <sz val="12"/>
        <color rgb="FFFF0000"/>
        <rFont val="Calibri"/>
        <family val="2"/>
        <scheme val="minor"/>
      </rPr>
      <t xml:space="preserve"> of the CR. </t>
    </r>
    <r>
      <rPr>
        <sz val="12"/>
        <color theme="1"/>
        <rFont val="Calibri"/>
        <family val="2"/>
        <scheme val="minor"/>
      </rPr>
      <t>That is why we find 54 of CET1 (39 CET1 + 15 billions)</t>
    </r>
  </si>
  <si>
    <t>CA - Equity</t>
  </si>
  <si>
    <t>CA - Green assets</t>
  </si>
  <si>
    <t>P.21</t>
  </si>
  <si>
    <t>https://credit-agricole.publispeak.com/rapport-integre-2019/CA-RI-2019-FR_01.pdf</t>
  </si>
  <si>
    <t>Commerzbank - Assets (investment, credit, other)</t>
  </si>
  <si>
    <t>p.142</t>
  </si>
  <si>
    <t>https://www.commerzbank.com/media/aktionaere/service/archive/konzern/2020_4/Geschaeftsbericht_2019_Konzern_EN.pdf</t>
  </si>
  <si>
    <t>Commerzbank - REPO</t>
  </si>
  <si>
    <t>p.207</t>
  </si>
  <si>
    <t xml:space="preserve">Commerzbank - Exposure </t>
  </si>
  <si>
    <t>p.51</t>
  </si>
  <si>
    <t xml:space="preserve">https://www.commerzbank.de/media/en/aktionaere/service/archive/konzern/2019_1/2019_Offenlegungsbericht_final_de.pdf </t>
  </si>
  <si>
    <t>Commerzbank - Fossil assets</t>
  </si>
  <si>
    <t>Commerzbank - Equity</t>
  </si>
  <si>
    <t>p.257</t>
  </si>
  <si>
    <t>Commerzbank - Green assets</t>
  </si>
  <si>
    <t>Deutsche</t>
  </si>
  <si>
    <t>Deutsche - Assets (investment, credit, other)</t>
  </si>
  <si>
    <t>p.226</t>
  </si>
  <si>
    <t>https://www.db.com/ir/en/download/Deutsche_Bank_Annual_Report_2019.pdf</t>
  </si>
  <si>
    <t xml:space="preserve">Deutsche - REPO </t>
  </si>
  <si>
    <t>p.308</t>
  </si>
  <si>
    <t xml:space="preserve">Deutsche - Exposure </t>
  </si>
  <si>
    <t>p.59</t>
  </si>
  <si>
    <t>https://www.db.com/ir/en/download/Deutsche_Bank_Pillar_3_Report_2019.pdf</t>
  </si>
  <si>
    <t>Deutsche - Fossil assets</t>
  </si>
  <si>
    <t>p.57/59</t>
  </si>
  <si>
    <t>Deutsche -  Equity</t>
  </si>
  <si>
    <t>p.102</t>
  </si>
  <si>
    <t>Deutsche - Green assets</t>
  </si>
  <si>
    <t>Santander - Assets (investment, credit, other)</t>
  </si>
  <si>
    <t>p. 480</t>
  </si>
  <si>
    <t>https://www.santander.com/content/dam/santander-com/en/documentos/informe-anual/2019/ia-2019-annual-report-en.pdf#page146</t>
  </si>
  <si>
    <t>Santander - REPO</t>
  </si>
  <si>
    <t>p.553</t>
  </si>
  <si>
    <t xml:space="preserve">Santander - Exposure </t>
  </si>
  <si>
    <t>p. 71</t>
  </si>
  <si>
    <t>Pillar 3</t>
  </si>
  <si>
    <t>https://www.santander.com/content/dam/santander-com/en/documentos/otra-informacion-relevante/2020/02/hr-2020-02-29-2019-pillar-3-disclosures-report-en.pdf</t>
  </si>
  <si>
    <t>Santander - Fossil assets</t>
  </si>
  <si>
    <t>Santander - Equity</t>
  </si>
  <si>
    <t>p. 317</t>
  </si>
  <si>
    <t>Santander - Green assets</t>
  </si>
  <si>
    <t>p.78</t>
  </si>
  <si>
    <t>ING</t>
  </si>
  <si>
    <t>ING - Assets (investment, credit, other)</t>
  </si>
  <si>
    <t>p. 252</t>
  </si>
  <si>
    <t xml:space="preserve">https://www.ing.com/web/file?uuid=233b1556-54d9-4fb7-9385-c1a4e3f083f1&amp;owner=b03bc017-e0db-4b5d-abbf-003b12934429&amp;contentid=49335 </t>
  </si>
  <si>
    <t>ING - REPO</t>
  </si>
  <si>
    <t>p.2çà</t>
  </si>
  <si>
    <t xml:space="preserve">ING - Exposure </t>
  </si>
  <si>
    <t>p.39</t>
  </si>
  <si>
    <t>https://www.ing.com.au/assets/pdf/Pillar3_Dec2019.pdf</t>
  </si>
  <si>
    <t>ING - Fossil assets</t>
  </si>
  <si>
    <t>p. 5</t>
  </si>
  <si>
    <t>Loan Portfolio</t>
  </si>
  <si>
    <t>https://www.ing.com/Sustainability/Our-Stance/Transparency.htm</t>
  </si>
  <si>
    <t>ING - Equity</t>
  </si>
  <si>
    <t>p. 381</t>
  </si>
  <si>
    <t>ING - Green assets</t>
  </si>
  <si>
    <t>p.432</t>
  </si>
  <si>
    <t>Intesa - Assets (investment, credit, other)</t>
  </si>
  <si>
    <t>p.172</t>
  </si>
  <si>
    <t>https://group.intesasanpaolo.com/content/dam/portalgroup/repository-documenti/investor-relations/bilanci-relazioni-en/2019/20200430_BILANCI_2019_Def_uk.pdf</t>
  </si>
  <si>
    <t>Intesa - REPO</t>
  </si>
  <si>
    <t>p.91 et p.97</t>
  </si>
  <si>
    <t xml:space="preserve">Intesa - Exposure </t>
  </si>
  <si>
    <t>p.80-81</t>
  </si>
  <si>
    <t>https://group.intesasanpaolo.com/content/dam/portalgroup/repository-documenti/investor-relations/Contenuti/RISORSE/Documenti%20PDF/en_governance/20200416_Pillar3_uk.pdf</t>
  </si>
  <si>
    <t>Intesa - Fossil assets</t>
  </si>
  <si>
    <t>Intesa - Equity</t>
  </si>
  <si>
    <t>p.104</t>
  </si>
  <si>
    <t>Intesa - Green assets</t>
  </si>
  <si>
    <t>p.5</t>
  </si>
  <si>
    <t>Green bond report</t>
  </si>
  <si>
    <t>https://group.intesasanpaolo.com/content/dam/portalgroup/nuove-immagini/sostenibilit%C3%A0/documenti/Green%20Bond%20Report%202019.pdf</t>
  </si>
  <si>
    <t xml:space="preserve">Unicredit </t>
  </si>
  <si>
    <t>Unicredit - Assets (investment, credit, other)</t>
  </si>
  <si>
    <t>p. 19</t>
  </si>
  <si>
    <t>https://www.unicreditgroup.eu/content/dam/unicreditgroup-eu/documents/en/investors/financial-reports/2019/4Q19/2019-Annual-Report-and-Accounts.pdf</t>
  </si>
  <si>
    <t>Unicredit - REPO</t>
  </si>
  <si>
    <t>p.569</t>
  </si>
  <si>
    <t xml:space="preserve">Unicredit - Exposure </t>
  </si>
  <si>
    <t>p.72</t>
  </si>
  <si>
    <t>https://www.unicreditgroup.eu/content/dam/unicreditgroup-eu/documents/en/investors/third-pillar-basel/2019/UniCredit-Group-Disclosure-Pillar-III-as-at-31-December-2019.pdf</t>
  </si>
  <si>
    <t>Unicredit - Fossil assets</t>
  </si>
  <si>
    <t>Unicredit - Equity</t>
  </si>
  <si>
    <t>p.500</t>
  </si>
  <si>
    <t>Unicredit - Green assets</t>
  </si>
  <si>
    <t>Corporate website</t>
  </si>
  <si>
    <t>https://www.unicreditgroup.eu/en/a-sustainable-bank/natural-capital/climate-change.html</t>
  </si>
  <si>
    <t>BCE- Assets (investment, credit, other)</t>
  </si>
  <si>
    <t xml:space="preserve">Financial report consolidated </t>
  </si>
  <si>
    <t>https://groupebpce.com/investisseurs/resultats-et-publications/presentation-des-resultats</t>
  </si>
  <si>
    <t>BCE - REPO</t>
  </si>
  <si>
    <t>p.251</t>
  </si>
  <si>
    <t>https://labrador.cld.bz/BPCE-2019URD/10/</t>
  </si>
  <si>
    <t xml:space="preserve">BCE- Exposure </t>
  </si>
  <si>
    <t>P.112</t>
  </si>
  <si>
    <t>https://labrador.cld.bz/BPCE-Rapport-sur-les-risques-Pilier-III-2019</t>
  </si>
  <si>
    <t>BCE - Fossil assets</t>
  </si>
  <si>
    <t>BCE - Equity</t>
  </si>
  <si>
    <t>p.6</t>
  </si>
  <si>
    <t>https://labrador.cld.bz/BPCE-Rapport-sur-les-risques-Pilier-III-2019/II/</t>
  </si>
  <si>
    <t>BCE- Green assets</t>
  </si>
  <si>
    <t>p10</t>
  </si>
  <si>
    <t>SoGé- Assets (investment, credit, other)</t>
  </si>
  <si>
    <t>p. 56</t>
  </si>
  <si>
    <t>https://www.societegenerale.com/sites/default/files/documents/2020-10/sg_urd_eng_2020.pdf</t>
  </si>
  <si>
    <t>SoGé - REPO</t>
  </si>
  <si>
    <t>p. 345</t>
  </si>
  <si>
    <t xml:space="preserve">SoGé - Exposure </t>
  </si>
  <si>
    <t>p. 124</t>
  </si>
  <si>
    <t>https://www.societegenerale.com/sites/default/files/documents/Pilier%20III/2019/societe-generale-pillar-3-2020-eng.pdf</t>
  </si>
  <si>
    <t>SoGé  - Fossil assets</t>
  </si>
  <si>
    <t>SoGé - Equity</t>
  </si>
  <si>
    <t>p. 178</t>
  </si>
  <si>
    <t>SoGé - Green assets</t>
  </si>
  <si>
    <t>MUFG - Assets (investment, credit, other)</t>
  </si>
  <si>
    <t>https://www.mufg.jp/dam/ir/report/annual_report/pdf/ir2020_all.pdf</t>
  </si>
  <si>
    <t>MUFG - REPO</t>
  </si>
  <si>
    <t xml:space="preserve">MUFG - Exposure </t>
  </si>
  <si>
    <t>P.22</t>
  </si>
  <si>
    <t xml:space="preserve">Pillar </t>
  </si>
  <si>
    <t>https://www.mufg.jp/dam/ir/report/annual_report/pdf/baseliii20_en.pdf</t>
  </si>
  <si>
    <t>MUFG - Fossil assets</t>
  </si>
  <si>
    <t>p.22</t>
  </si>
  <si>
    <t>MUFG - Equity</t>
  </si>
  <si>
    <t>P.1</t>
  </si>
  <si>
    <t>https://www.mufg.jp/dam/ir/report/basel3/pdf/mufg1903_08_en.pdf</t>
  </si>
  <si>
    <t>MUFG - Green assets</t>
  </si>
  <si>
    <t>UBS - Assets (investment, credit, other)</t>
  </si>
  <si>
    <t>p.25</t>
  </si>
  <si>
    <t>https://www.ubs.com/content/dam/assets/cc/investor-relations/annual-report/2019/epaper/pillar-3/en/index.html#page=25&amp;zoom=z</t>
  </si>
  <si>
    <t>UBS - REPO</t>
  </si>
  <si>
    <t>p. 161</t>
  </si>
  <si>
    <t>https://www.ubs.com/global/en/investor-relations/financial-information/annual-reporting/ar-archive/_jcr_content/mainpar/toplevelgrid/col1/accordionbox/innergrid_778459529_/xcol1/linklist/link_copy.1996212992.file/bGluay9wYXRoPS9jb250ZW50L2RhbS9hc3NldHMvY2MvaW52ZXN0b3ItcmVsYXRpb25zL2FubnVhbC1yZXBvcnQvMjAxOS9mdWxsLXJlcG9ydC11YnMtZ3JvdXAtYWctY29uc29saWRhdGVkLTIwMTktZW4ucGRm/full-report-ubs-group-ag-consolidated-2019-en.pdf</t>
  </si>
  <si>
    <t xml:space="preserve">UBS - Exposure </t>
  </si>
  <si>
    <t>p.30</t>
  </si>
  <si>
    <t xml:space="preserve">https://www.ubs.com/content/dam/assets/cc/investor-relations/annual-report/2019/epaper/pillar-3/en/index.html#page=30-31&amp;zoom=z </t>
  </si>
  <si>
    <t>UBS - Fossil assets</t>
  </si>
  <si>
    <t>UBS - Equity</t>
  </si>
  <si>
    <t>p.19</t>
  </si>
  <si>
    <t>UBS - Green assets</t>
  </si>
  <si>
    <t>Crédit Suisse - Assets (investment, credit, other)</t>
  </si>
  <si>
    <t>p.115</t>
  </si>
  <si>
    <t>https://www.credit-suisse.com/media/assets/corporate/docs/about-us/investor-relations/financial-disclosures/financial-reports/csg-ar-2019-en.pdf</t>
  </si>
  <si>
    <t>Crédit Suisse - REPO</t>
  </si>
  <si>
    <t xml:space="preserve">Crédit Suisse - Exposure </t>
  </si>
  <si>
    <t>p.13</t>
  </si>
  <si>
    <t>"pillar"</t>
  </si>
  <si>
    <t>2019-q4-basel-3-250320.pdf : à télécharger</t>
  </si>
  <si>
    <t>Crédit Suisse - Fossil assets</t>
  </si>
  <si>
    <t>Crédit Suisse - Equity</t>
  </si>
  <si>
    <t>p.124</t>
  </si>
  <si>
    <t>Crédit Suisse - Green assets</t>
  </si>
  <si>
    <t>BANK OF AMERICA</t>
  </si>
  <si>
    <t>BOA- Assets (investment, credit, other)</t>
  </si>
  <si>
    <t>p 90</t>
  </si>
  <si>
    <t xml:space="preserve">Form 10 K </t>
  </si>
  <si>
    <t>4Q19 10-K (bankofamerica.com)</t>
  </si>
  <si>
    <t>BOA - REPO</t>
  </si>
  <si>
    <t>p 148</t>
  </si>
  <si>
    <t>Annual report</t>
  </si>
  <si>
    <t>https://www.annualreports.com/HostedData/AnnualReports/PDF/NYSE_BAC_2019.pdf</t>
  </si>
  <si>
    <t xml:space="preserve">BOA- Exposure </t>
  </si>
  <si>
    <t>p 65</t>
  </si>
  <si>
    <t>BOA - Fossil assets</t>
  </si>
  <si>
    <t>P 65</t>
  </si>
  <si>
    <t>BOA - Equity</t>
  </si>
  <si>
    <t>p 47</t>
  </si>
  <si>
    <t>BOA- Green assets</t>
  </si>
  <si>
    <t>P24</t>
  </si>
  <si>
    <t>https://www.annualreports.com/Company/bank-of-america-corporation#</t>
  </si>
  <si>
    <t>WF- Assets (investment, credit, other)</t>
  </si>
  <si>
    <t>p 123</t>
  </si>
  <si>
    <t>https://www08.wellsfargomedia.com/assets/pdf/about/investor-relations/annual-reports/2019-annual-report.pdf</t>
  </si>
  <si>
    <t>WF - REPO</t>
  </si>
  <si>
    <t>p 191</t>
  </si>
  <si>
    <t xml:space="preserve">WF- Exposure </t>
  </si>
  <si>
    <t>p 61</t>
  </si>
  <si>
    <t>WF - Fossil assets</t>
  </si>
  <si>
    <t>P 61</t>
  </si>
  <si>
    <t>WF - Equity</t>
  </si>
  <si>
    <t>p 88</t>
  </si>
  <si>
    <t>WF- Green assets</t>
  </si>
  <si>
    <t>P 26</t>
  </si>
  <si>
    <t>JP Morgan Chase</t>
  </si>
  <si>
    <t>JPMC - Assets (investment, credit, other)</t>
  </si>
  <si>
    <t>p 56</t>
  </si>
  <si>
    <t>https://www.jpmorganchase.com/content/dam/jpmc/jpmorgan-chase-and-co/investor-relations/documents/annualreport-2019.pdf</t>
  </si>
  <si>
    <t>JPMC - REPO</t>
  </si>
  <si>
    <t>p 52</t>
  </si>
  <si>
    <t xml:space="preserve">JPMC - Exposure </t>
  </si>
  <si>
    <t>p 116</t>
  </si>
  <si>
    <t>https://jpmorganchaseco.gcs-web.com/static-files/cdb056f9-4973-4dc9-9319-e418b9ccf28f</t>
  </si>
  <si>
    <t>JPMC - Fossil assets</t>
  </si>
  <si>
    <t>JPMC - Equity</t>
  </si>
  <si>
    <t>p 92</t>
  </si>
  <si>
    <t>Citigroup - Assets (investment, credit, other)</t>
  </si>
  <si>
    <t>p 150</t>
  </si>
  <si>
    <t>https://www.citigroup.com/citi/investor/quarterly/2020/ar19_en.pdf?ieNocache=249</t>
  </si>
  <si>
    <t>Citigroup - REPO</t>
  </si>
  <si>
    <t>p 287</t>
  </si>
  <si>
    <t xml:space="preserve">Citigroup - Exposure </t>
  </si>
  <si>
    <t>p 69</t>
  </si>
  <si>
    <t>https://www.citigroup.com/citi/investor/data/q1904c.pdf?ieNocache=388</t>
  </si>
  <si>
    <t>Citigroup - Fossil assets</t>
  </si>
  <si>
    <t>P 70</t>
  </si>
  <si>
    <t>Citigroup  - Equity</t>
  </si>
  <si>
    <t>p 232</t>
  </si>
  <si>
    <t>HSBC - Assets (investment, credit, other)</t>
  </si>
  <si>
    <t>p. 231</t>
  </si>
  <si>
    <t>https://www.hsbc.com/investors/results-and-announcements/annual-report</t>
  </si>
  <si>
    <t>HSBC - REPO</t>
  </si>
  <si>
    <t xml:space="preserve">HSBC - Exposure </t>
  </si>
  <si>
    <t>p. 37</t>
  </si>
  <si>
    <t>https://www.hsbc.com/-/files/hsbc/investors/hsbc-results/2019/annual/pdfs/hsbc-holdings-plc/200218-pillar-3-disclosures-at-31-december-2019.pdf</t>
  </si>
  <si>
    <t>HSBC - Fossil assets</t>
  </si>
  <si>
    <t>HSBC  - Equity</t>
  </si>
  <si>
    <t>p. 152</t>
  </si>
  <si>
    <t>Barclays - Assets (investment, credit, other)</t>
  </si>
  <si>
    <t>p. 243</t>
  </si>
  <si>
    <t>https://home.barclays/content/dam/home-barclays/documents/investor-relations/reports-and-events/annual-reports/2019/Barclays%20PLC%20Annual%20Report%202019.pdf</t>
  </si>
  <si>
    <t>Barclays - REPO</t>
  </si>
  <si>
    <t>p.149</t>
  </si>
  <si>
    <t xml:space="preserve">Barclays - Exposure </t>
  </si>
  <si>
    <t>p. 22</t>
  </si>
  <si>
    <t>https://home.barclays/content/dam/home-barclays/documents/investor-relations/ResultAnnouncements/2019FYResults/20200213-Barclays-Bank-UK-PLC-Pillar-3-Report.pdf</t>
  </si>
  <si>
    <t>Barclays - Fossil assets</t>
  </si>
  <si>
    <t>Barclays  - Equity</t>
  </si>
  <si>
    <t>p. 194</t>
  </si>
  <si>
    <t>ICBC - Assets (investment, credit, other)</t>
  </si>
  <si>
    <t>p. 275</t>
  </si>
  <si>
    <t>https://v.icbc.com.cn/userfiles/Resources/ICBCLTD/download/2020/2019AnnualReport.pdf</t>
  </si>
  <si>
    <t>ICBC - REPO</t>
  </si>
  <si>
    <t xml:space="preserve">ICBC - Exposure </t>
  </si>
  <si>
    <t>http://v.icbc.com.cn/userfiles/Resources/ICBC/haiwai/ICBCLondon/download/2019/2018Pillar3disclosure.pdf</t>
  </si>
  <si>
    <t>ICBC - Fossil assets</t>
  </si>
  <si>
    <t>ICBC - Equity</t>
  </si>
  <si>
    <t>p.9</t>
  </si>
  <si>
    <t>CBC - Assets (investment, credit, other)</t>
  </si>
  <si>
    <t>p.34</t>
  </si>
  <si>
    <t>http://www.ccb.com/en/newinvestor/upload/20200428_1588066796/20200428214237304314.pdf</t>
  </si>
  <si>
    <t>CBC - REPO</t>
  </si>
  <si>
    <t xml:space="preserve">CBC - Exposure </t>
  </si>
  <si>
    <t>p.10</t>
  </si>
  <si>
    <t>http://uk.ccb.com/london/uploadfile/gywm/20111123_1322031202/2016927104952688944.pdf</t>
  </si>
  <si>
    <t>CBC - Fossil assets</t>
  </si>
  <si>
    <t>CBC - Equity</t>
  </si>
  <si>
    <t>p.40</t>
  </si>
  <si>
    <t>ABC - Assets (investment, credit, other)</t>
  </si>
  <si>
    <t>p.7</t>
  </si>
  <si>
    <t>http://www.abchina.com/en/investor-relations/performance-reports/annual-reports/202004/P020200428576090111267.pdf</t>
  </si>
  <si>
    <t xml:space="preserve">ABC - Exposure </t>
  </si>
  <si>
    <t>p.56</t>
  </si>
  <si>
    <t>http://www.abchina.com/en/investor-relations/Regulatorycapital/captialadequacy/202004/W020200401543997120911.pdf</t>
  </si>
  <si>
    <t>ABC - Fossil assets</t>
  </si>
  <si>
    <t>ABC - Equity</t>
  </si>
  <si>
    <t xml:space="preserve">p.5 </t>
  </si>
  <si>
    <t xml:space="preserve">ABC- repo </t>
  </si>
  <si>
    <t>ABC - Green assets</t>
  </si>
  <si>
    <t>BOC - Assets (investment, credit, other)</t>
  </si>
  <si>
    <t>Pillar</t>
  </si>
  <si>
    <t>https://pic.bankofchina.com/bocappd/uk/202009/P020200909535865685853.pdf</t>
  </si>
  <si>
    <t xml:space="preserve">BOC - Exposure </t>
  </si>
  <si>
    <t>p.38</t>
  </si>
  <si>
    <t>BOC - Fossil assets</t>
  </si>
  <si>
    <t>BOC - Equity</t>
  </si>
  <si>
    <t xml:space="preserve">BOC- repo </t>
  </si>
  <si>
    <t>p.285</t>
  </si>
  <si>
    <t xml:space="preserve">urd </t>
  </si>
  <si>
    <t>https://pic.bankofchina.com/bocappd/report/202003/P020200327552610006350.pdf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</si>
</sst>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 #,##0.00_)_ ;_ * \(#,##0.00\)_ ;_ * &quot;-&quot;??_)_ ;_ @_ "/>
    <numFmt numFmtId="165" formatCode="0.0%"/>
    <numFmt numFmtId="166" formatCode="0.000"/>
    <numFmt numFmtId="167" formatCode="0.0"/>
    <numFmt numFmtId="168" formatCode="0.000%"/>
    <numFmt numFmtId="169" formatCode="_-* #,##0\ &quot;€&quot;_-;\-* #,##0\ &quot;€&quot;_-;_-* &quot;-&quot;??\ &quot;€&quot;_-;_-@_-"/>
    <numFmt numFmtId="170" formatCode="_ * #,##0_)_ ;_ * \(#,##0\)_ ;_ * &quot;-&quot;??_)_ ;_ @_ "/>
    <numFmt numFmtId="171" formatCode="_-* #,##0\ _€_-;\-* #,##0\ _€_-;_-* &quot;-&quot;??\ _€_-;_-@_-"/>
  </numFmts>
  <fonts count="36">
    <font>
      <sz val="12"/>
      <color theme="1"/>
      <name val="Calibri"/>
      <family val="2"/>
      <scheme val="minor"/>
    </font>
    <font>
      <sz val="12"/>
      <color theme="1"/>
      <name val="Calibri"/>
      <family val="2"/>
      <scheme val="minor"/>
    </font>
    <font>
      <u/>
      <sz val="12"/>
      <color theme="10"/>
      <name val="Calibri"/>
      <family val="2"/>
      <scheme val="minor"/>
    </font>
    <font>
      <b/>
      <sz val="11"/>
      <color theme="1"/>
      <name val="Calibri"/>
      <family val="2"/>
      <scheme val="minor"/>
    </font>
    <font>
      <u/>
      <sz val="11"/>
      <color theme="10"/>
      <name val="Calibri"/>
      <family val="2"/>
      <scheme val="minor"/>
    </font>
    <font>
      <sz val="11"/>
      <color rgb="FF000000"/>
      <name val="Calibri"/>
      <family val="2"/>
      <scheme val="minor"/>
    </font>
    <font>
      <sz val="12"/>
      <color theme="1"/>
      <name val="Helvetica"/>
      <family val="2"/>
    </font>
    <font>
      <b/>
      <sz val="12"/>
      <color theme="5"/>
      <name val="Helvetica"/>
      <family val="2"/>
    </font>
    <font>
      <sz val="12"/>
      <color theme="5"/>
      <name val="Helvetica"/>
      <family val="2"/>
    </font>
    <font>
      <sz val="12"/>
      <color rgb="FFC00000"/>
      <name val="Helvetica"/>
      <family val="2"/>
    </font>
    <font>
      <i/>
      <sz val="12"/>
      <color theme="1"/>
      <name val="Helvetica"/>
      <family val="2"/>
    </font>
    <font>
      <sz val="11"/>
      <color theme="1"/>
      <name val="Helvetica"/>
      <family val="2"/>
    </font>
    <font>
      <sz val="11"/>
      <color rgb="FF000000"/>
      <name val="Helvetica"/>
      <family val="2"/>
    </font>
    <font>
      <b/>
      <sz val="11"/>
      <color rgb="FF000000"/>
      <name val="Helvetica"/>
      <family val="2"/>
    </font>
    <font>
      <b/>
      <sz val="11"/>
      <color theme="1"/>
      <name val="Helvetica"/>
      <family val="2"/>
    </font>
    <font>
      <sz val="8"/>
      <name val="Calibri"/>
      <family val="2"/>
      <scheme val="minor"/>
    </font>
    <font>
      <b/>
      <sz val="12"/>
      <color theme="1"/>
      <name val="Calibri"/>
      <family val="2"/>
      <scheme val="minor"/>
    </font>
    <font>
      <b/>
      <sz val="11"/>
      <color rgb="FF0070C0"/>
      <name val="Helvetica"/>
      <family val="2"/>
    </font>
    <font>
      <i/>
      <sz val="11"/>
      <color rgb="FF0070C0"/>
      <name val="Helvetica"/>
      <family val="2"/>
    </font>
    <font>
      <b/>
      <sz val="14"/>
      <color rgb="FF000000"/>
      <name val="Helvetica"/>
      <family val="2"/>
    </font>
    <font>
      <sz val="12"/>
      <color rgb="FFC00000"/>
      <name val="Calibri"/>
      <family val="2"/>
      <scheme val="minor"/>
    </font>
    <font>
      <i/>
      <sz val="12"/>
      <color rgb="FFFF0000"/>
      <name val="Helvetica"/>
      <family val="2"/>
    </font>
    <font>
      <sz val="12"/>
      <color rgb="FF000000"/>
      <name val="Calibri"/>
      <family val="2"/>
      <scheme val="minor"/>
    </font>
    <font>
      <b/>
      <sz val="12"/>
      <color rgb="FFFF0000"/>
      <name val="Calibri"/>
      <family val="2"/>
      <scheme val="minor"/>
    </font>
    <font>
      <b/>
      <sz val="12"/>
      <color theme="1"/>
      <name val="Helvetica"/>
      <family val="2"/>
    </font>
    <font>
      <sz val="12"/>
      <color rgb="FFFF0000"/>
      <name val="Calibri"/>
      <family val="2"/>
      <scheme val="minor"/>
    </font>
    <font>
      <sz val="11"/>
      <color rgb="FF000000"/>
      <name val="Calibri"/>
      <family val="2"/>
    </font>
    <font>
      <sz val="12"/>
      <color theme="1"/>
      <name val="Calibri"/>
      <family val="2"/>
    </font>
    <font>
      <u/>
      <sz val="12"/>
      <color rgb="FF0563C1"/>
      <name val="Calibri"/>
      <family val="2"/>
    </font>
    <font>
      <sz val="11"/>
      <color rgb="FF000000"/>
      <name val="Helvetica Neue"/>
      <family val="2"/>
    </font>
    <font>
      <b/>
      <sz val="12"/>
      <color rgb="FF000000"/>
      <name val="Calibri"/>
      <family val="2"/>
      <scheme val="minor"/>
    </font>
    <font>
      <sz val="12"/>
      <color rgb="FF000000"/>
      <name val="Helvetica"/>
      <family val="2"/>
    </font>
    <font>
      <b/>
      <sz val="11"/>
      <color theme="5"/>
      <name val="Helvetica"/>
      <family val="2"/>
    </font>
    <font>
      <sz val="12"/>
      <name val="Calibri"/>
      <family val="2"/>
    </font>
    <font>
      <sz val="12"/>
      <color theme="1"/>
      <name val="Helvetica"/>
      <family val="2"/>
    </font>
    <font>
      <b/>
      <sz val="12"/>
      <color rgb="FF000000"/>
      <name val="Helvetica"/>
      <family val="2"/>
    </font>
  </fonts>
  <fills count="22">
    <fill>
      <patternFill patternType="none"/>
    </fill>
    <fill>
      <patternFill patternType="gray125"/>
    </fill>
    <fill>
      <patternFill patternType="solid">
        <fgColor rgb="FFDDEBF7"/>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2F2F2"/>
        <bgColor rgb="FF000000"/>
      </patternFill>
    </fill>
    <fill>
      <patternFill patternType="solid">
        <fgColor rgb="FFE2EFDA"/>
        <bgColor rgb="FF000000"/>
      </patternFill>
    </fill>
    <fill>
      <patternFill patternType="solid">
        <fgColor theme="7" tint="0.39997558519241921"/>
        <bgColor indexed="64"/>
      </patternFill>
    </fill>
    <fill>
      <patternFill patternType="solid">
        <fgColor theme="7" tint="0.79998168889431442"/>
        <bgColor rgb="FF000000"/>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E2EFDA"/>
        <bgColor indexed="64"/>
      </patternFill>
    </fill>
    <fill>
      <patternFill patternType="solid">
        <fgColor rgb="FFFCE4D6"/>
        <bgColor indexed="64"/>
      </patternFill>
    </fill>
    <fill>
      <patternFill patternType="solid">
        <fgColor rgb="FFFFF2CC"/>
        <bgColor rgb="FF000000"/>
      </patternFill>
    </fill>
    <fill>
      <patternFill patternType="solid">
        <fgColor theme="7"/>
        <bgColor indexed="64"/>
      </patternFill>
    </fill>
    <fill>
      <patternFill patternType="solid">
        <fgColor theme="4" tint="0.79998168889431442"/>
        <bgColor indexed="64"/>
      </patternFill>
    </fill>
    <fill>
      <patternFill patternType="solid">
        <fgColor rgb="FFDDEBF7"/>
        <bgColor rgb="FF000000"/>
      </patternFill>
    </fill>
    <fill>
      <patternFill patternType="solid">
        <fgColor rgb="FFFFFFFF"/>
        <bgColor rgb="FF000000"/>
      </patternFill>
    </fill>
  </fills>
  <borders count="15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style="medium">
        <color rgb="FF000000"/>
      </right>
      <top style="medium">
        <color rgb="FF000000"/>
      </top>
      <bottom/>
      <diagonal/>
    </border>
    <border>
      <left/>
      <right style="medium">
        <color rgb="FF000000"/>
      </right>
      <top/>
      <bottom style="medium">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top style="thin">
        <color theme="1"/>
      </top>
      <bottom/>
      <diagonal/>
    </border>
    <border>
      <left/>
      <right/>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tint="4.9989318521683403E-2"/>
      </left>
      <right style="thin">
        <color theme="0" tint="-0.249977111117893"/>
      </right>
      <top style="thin">
        <color theme="1" tint="4.9989318521683403E-2"/>
      </top>
      <bottom style="thin">
        <color theme="0" tint="-0.249977111117893"/>
      </bottom>
      <diagonal/>
    </border>
    <border>
      <left style="thin">
        <color theme="0" tint="-0.249977111117893"/>
      </left>
      <right style="thin">
        <color theme="0" tint="-0.249977111117893"/>
      </right>
      <top style="thin">
        <color theme="1" tint="4.9989318521683403E-2"/>
      </top>
      <bottom style="thin">
        <color theme="0" tint="-0.249977111117893"/>
      </bottom>
      <diagonal/>
    </border>
    <border>
      <left style="thin">
        <color theme="0" tint="-0.249977111117893"/>
      </left>
      <right style="thin">
        <color theme="1" tint="4.9989318521683403E-2"/>
      </right>
      <top style="thin">
        <color theme="1" tint="4.9989318521683403E-2"/>
      </top>
      <bottom style="thin">
        <color theme="0" tint="-0.249977111117893"/>
      </bottom>
      <diagonal/>
    </border>
    <border>
      <left style="thin">
        <color theme="1" tint="4.9989318521683403E-2"/>
      </left>
      <right style="thin">
        <color theme="0" tint="-0.249977111117893"/>
      </right>
      <top style="thin">
        <color theme="0" tint="-0.249977111117893"/>
      </top>
      <bottom style="thin">
        <color theme="0" tint="-0.249977111117893"/>
      </bottom>
      <diagonal/>
    </border>
    <border>
      <left style="thin">
        <color theme="0" tint="-0.249977111117893"/>
      </left>
      <right style="thin">
        <color theme="1" tint="4.9989318521683403E-2"/>
      </right>
      <top style="thin">
        <color theme="0" tint="-0.249977111117893"/>
      </top>
      <bottom style="thin">
        <color theme="0" tint="-0.249977111117893"/>
      </bottom>
      <diagonal/>
    </border>
    <border>
      <left style="thin">
        <color theme="1" tint="4.9989318521683403E-2"/>
      </left>
      <right style="thin">
        <color theme="0" tint="-0.249977111117893"/>
      </right>
      <top style="thin">
        <color theme="0" tint="-0.249977111117893"/>
      </top>
      <bottom style="thin">
        <color theme="1" tint="4.9989318521683403E-2"/>
      </bottom>
      <diagonal/>
    </border>
    <border>
      <left style="thin">
        <color theme="0" tint="-0.249977111117893"/>
      </left>
      <right style="thin">
        <color theme="0" tint="-0.249977111117893"/>
      </right>
      <top style="thin">
        <color theme="0" tint="-0.249977111117893"/>
      </top>
      <bottom style="thin">
        <color theme="1" tint="4.9989318521683403E-2"/>
      </bottom>
      <diagonal/>
    </border>
    <border>
      <left style="thin">
        <color theme="0" tint="-0.249977111117893"/>
      </left>
      <right style="thin">
        <color theme="1" tint="4.9989318521683403E-2"/>
      </right>
      <top style="thin">
        <color theme="0" tint="-0.249977111117893"/>
      </top>
      <bottom style="thin">
        <color theme="1" tint="4.9989318521683403E-2"/>
      </bottom>
      <diagonal/>
    </border>
    <border>
      <left/>
      <right style="thin">
        <color theme="0" tint="-0.249977111117893"/>
      </right>
      <top style="thin">
        <color theme="0" tint="-0.249977111117893"/>
      </top>
      <bottom style="thin">
        <color theme="0" tint="-0.249977111117893"/>
      </bottom>
      <diagonal/>
    </border>
    <border>
      <left style="thin">
        <color theme="1" tint="4.9989318521683403E-2"/>
      </left>
      <right/>
      <top/>
      <bottom style="thin">
        <color theme="1" tint="4.9989318521683403E-2"/>
      </bottom>
      <diagonal/>
    </border>
    <border>
      <left/>
      <right/>
      <top/>
      <bottom style="thin">
        <color theme="1" tint="4.9989318521683403E-2"/>
      </bottom>
      <diagonal/>
    </border>
    <border>
      <left style="thin">
        <color theme="1" tint="0.14999847407452621"/>
      </left>
      <right style="thin">
        <color theme="1" tint="0.14999847407452621"/>
      </right>
      <top style="thin">
        <color theme="1" tint="0.14999847407452621"/>
      </top>
      <bottom style="thin">
        <color theme="1" tint="0.14999847407452621"/>
      </bottom>
      <diagonal/>
    </border>
    <border>
      <left style="thin">
        <color theme="1" tint="0.14999847407452621"/>
      </left>
      <right style="thin">
        <color theme="0" tint="-0.34998626667073579"/>
      </right>
      <top style="thin">
        <color theme="1" tint="0.14999847407452621"/>
      </top>
      <bottom style="thin">
        <color theme="0" tint="-0.34998626667073579"/>
      </bottom>
      <diagonal/>
    </border>
    <border>
      <left style="thin">
        <color theme="0" tint="-0.34998626667073579"/>
      </left>
      <right style="thin">
        <color theme="1" tint="0.14999847407452621"/>
      </right>
      <top style="thin">
        <color theme="1" tint="0.14999847407452621"/>
      </top>
      <bottom style="thin">
        <color theme="0" tint="-0.34998626667073579"/>
      </bottom>
      <diagonal/>
    </border>
    <border>
      <left style="thin">
        <color theme="1" tint="0.1499984740745262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1" tint="0.14999847407452621"/>
      </right>
      <top style="thin">
        <color theme="0" tint="-0.34998626667073579"/>
      </top>
      <bottom style="thin">
        <color theme="0" tint="-0.34998626667073579"/>
      </bottom>
      <diagonal/>
    </border>
    <border>
      <left style="thin">
        <color theme="1" tint="0.14999847407452621"/>
      </left>
      <right style="thin">
        <color theme="1" tint="0.14999847407452621"/>
      </right>
      <top style="thin">
        <color theme="1" tint="0.14999847407452621"/>
      </top>
      <bottom style="thin">
        <color theme="0" tint="-0.34998626667073579"/>
      </bottom>
      <diagonal/>
    </border>
    <border>
      <left style="thin">
        <color theme="1" tint="0.14999847407452621"/>
      </left>
      <right style="thin">
        <color theme="1" tint="0.14999847407452621"/>
      </right>
      <top style="thin">
        <color theme="0" tint="-0.34998626667073579"/>
      </top>
      <bottom style="thin">
        <color theme="0" tint="-0.34998626667073579"/>
      </bottom>
      <diagonal/>
    </border>
    <border>
      <left style="thin">
        <color theme="1" tint="0.14999847407452621"/>
      </left>
      <right style="thin">
        <color theme="1" tint="0.14999847407452621"/>
      </right>
      <top style="thin">
        <color theme="0" tint="-0.34998626667073579"/>
      </top>
      <bottom/>
      <diagonal/>
    </border>
    <border>
      <left style="thin">
        <color theme="1" tint="0.14999847407452621"/>
      </left>
      <right/>
      <top style="thin">
        <color theme="1" tint="0.14999847407452621"/>
      </top>
      <bottom style="thin">
        <color theme="0" tint="-0.34998626667073579"/>
      </bottom>
      <diagonal/>
    </border>
    <border>
      <left style="thin">
        <color theme="1" tint="0.14999847407452621"/>
      </left>
      <right/>
      <top style="thin">
        <color theme="0" tint="-0.34998626667073579"/>
      </top>
      <bottom style="thin">
        <color theme="0" tint="-0.34998626667073579"/>
      </bottom>
      <diagonal/>
    </border>
    <border>
      <left style="thin">
        <color theme="1" tint="0.14999847407452621"/>
      </left>
      <right/>
      <top style="thin">
        <color theme="0" tint="-0.34998626667073579"/>
      </top>
      <bottom/>
      <diagonal/>
    </border>
    <border>
      <left style="thin">
        <color theme="1" tint="0.14999847407452621"/>
      </left>
      <right/>
      <top style="thin">
        <color theme="1" tint="0.14999847407452621"/>
      </top>
      <bottom style="thin">
        <color theme="1" tint="0.14999847407452621"/>
      </bottom>
      <diagonal/>
    </border>
    <border>
      <left style="thin">
        <color theme="1" tint="0.14999847407452621"/>
      </left>
      <right/>
      <top style="thin">
        <color theme="1" tint="0.14999847407452621"/>
      </top>
      <bottom style="thin">
        <color indexed="64"/>
      </bottom>
      <diagonal/>
    </border>
    <border>
      <left/>
      <right style="thin">
        <color theme="1" tint="0.14999847407452621"/>
      </right>
      <top style="thin">
        <color theme="1" tint="0.14999847407452621"/>
      </top>
      <bottom style="thin">
        <color indexed="64"/>
      </bottom>
      <diagonal/>
    </border>
    <border>
      <left style="thin">
        <color theme="1" tint="0.14999847407452621"/>
      </left>
      <right/>
      <top style="thin">
        <color indexed="64"/>
      </top>
      <bottom/>
      <diagonal/>
    </border>
    <border>
      <left/>
      <right style="thin">
        <color theme="1" tint="0.14999847407452621"/>
      </right>
      <top style="thin">
        <color indexed="64"/>
      </top>
      <bottom/>
      <diagonal/>
    </border>
    <border>
      <left style="thin">
        <color theme="1" tint="0.14999847407452621"/>
      </left>
      <right style="thin">
        <color theme="0" tint="-0.34998626667073579"/>
      </right>
      <top style="thin">
        <color theme="0" tint="-0.34998626667073579"/>
      </top>
      <bottom/>
      <diagonal/>
    </border>
    <border>
      <left style="thin">
        <color theme="1" tint="0.14999847407452621"/>
      </left>
      <right style="thin">
        <color theme="0" tint="-0.34998626667073579"/>
      </right>
      <top style="thin">
        <color theme="1" tint="0.14999847407452621"/>
      </top>
      <bottom style="thin">
        <color theme="1" tint="0.14999847407452621"/>
      </bottom>
      <diagonal/>
    </border>
    <border>
      <left style="thin">
        <color theme="1" tint="0.14999847407452621"/>
      </left>
      <right/>
      <top style="thin">
        <color theme="1" tint="0.14999847407452621"/>
      </top>
      <bottom/>
      <diagonal/>
    </border>
    <border>
      <left/>
      <right/>
      <top style="thin">
        <color theme="1" tint="0.14999847407452621"/>
      </top>
      <bottom/>
      <diagonal/>
    </border>
    <border>
      <left/>
      <right style="thin">
        <color theme="1" tint="0.14999847407452621"/>
      </right>
      <top style="thin">
        <color theme="1" tint="0.14999847407452621"/>
      </top>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style="thin">
        <color theme="0" tint="-0.14999847407452621"/>
      </left>
      <right/>
      <top style="thin">
        <color theme="0" tint="-0.14999847407452621"/>
      </top>
      <bottom style="thin">
        <color theme="0" tint="-0.14999847407452621"/>
      </bottom>
      <diagonal/>
    </border>
    <border>
      <left style="thin">
        <color indexed="64"/>
      </left>
      <right style="thin">
        <color theme="1"/>
      </right>
      <top style="thin">
        <color indexed="64"/>
      </top>
      <bottom style="thin">
        <color theme="0" tint="-0.14999847407452621"/>
      </bottom>
      <diagonal/>
    </border>
    <border>
      <left/>
      <right style="thin">
        <color theme="0" tint="-0.14999847407452621"/>
      </right>
      <top style="thin">
        <color indexed="64"/>
      </top>
      <bottom style="thin">
        <color theme="0" tint="-0.14999847407452621"/>
      </bottom>
      <diagonal/>
    </border>
    <border>
      <left style="thin">
        <color theme="0" tint="-0.14999847407452621"/>
      </left>
      <right style="thin">
        <color theme="0" tint="-0.14999847407452621"/>
      </right>
      <top style="thin">
        <color indexed="64"/>
      </top>
      <bottom style="thin">
        <color theme="0" tint="-0.14999847407452621"/>
      </bottom>
      <diagonal/>
    </border>
    <border>
      <left style="thin">
        <color theme="0" tint="-0.14999847407452621"/>
      </left>
      <right/>
      <top style="thin">
        <color indexed="64"/>
      </top>
      <bottom style="thin">
        <color theme="0" tint="-0.14999847407452621"/>
      </bottom>
      <diagonal/>
    </border>
    <border>
      <left style="thin">
        <color theme="0" tint="-0.14999847407452621"/>
      </left>
      <right style="thin">
        <color indexed="64"/>
      </right>
      <top style="thin">
        <color indexed="64"/>
      </top>
      <bottom style="thin">
        <color theme="0" tint="-0.14999847407452621"/>
      </bottom>
      <diagonal/>
    </border>
    <border>
      <left style="thin">
        <color indexed="64"/>
      </left>
      <right style="thin">
        <color theme="1"/>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indexed="64"/>
      </bottom>
      <diagonal/>
    </border>
    <border>
      <left style="thin">
        <color theme="0" tint="-0.14999847407452621"/>
      </left>
      <right style="thin">
        <color theme="0" tint="-0.14999847407452621"/>
      </right>
      <top style="thin">
        <color theme="0" tint="-0.14999847407452621"/>
      </top>
      <bottom style="thin">
        <color indexed="64"/>
      </bottom>
      <diagonal/>
    </border>
    <border>
      <left style="thin">
        <color theme="0" tint="-0.14999847407452621"/>
      </left>
      <right/>
      <top style="thin">
        <color theme="0" tint="-0.14999847407452621"/>
      </top>
      <bottom style="thin">
        <color indexed="64"/>
      </bottom>
      <diagonal/>
    </border>
    <border>
      <left style="thin">
        <color theme="0" tint="-0.14999847407452621"/>
      </left>
      <right style="thin">
        <color indexed="64"/>
      </right>
      <top style="thin">
        <color theme="0" tint="-0.14999847407452621"/>
      </top>
      <bottom style="thin">
        <color indexed="64"/>
      </bottom>
      <diagonal/>
    </border>
    <border>
      <left/>
      <right style="thin">
        <color theme="0" tint="-0.14999847407452621"/>
      </right>
      <top/>
      <bottom style="thin">
        <color indexed="64"/>
      </bottom>
      <diagonal/>
    </border>
    <border>
      <left style="thin">
        <color theme="0" tint="-0.14999847407452621"/>
      </left>
      <right style="thin">
        <color theme="0" tint="-0.14999847407452621"/>
      </right>
      <top/>
      <bottom style="thin">
        <color indexed="64"/>
      </bottom>
      <diagonal/>
    </border>
    <border>
      <left style="thin">
        <color theme="0" tint="-0.14999847407452621"/>
      </left>
      <right/>
      <top/>
      <bottom style="thin">
        <color indexed="64"/>
      </bottom>
      <diagonal/>
    </border>
    <border>
      <left style="thin">
        <color theme="0" tint="-0.14999847407452621"/>
      </left>
      <right style="thin">
        <color indexed="64"/>
      </right>
      <top/>
      <bottom style="thin">
        <color indexed="64"/>
      </bottom>
      <diagonal/>
    </border>
    <border>
      <left style="thin">
        <color indexed="64"/>
      </left>
      <right style="thin">
        <color theme="1"/>
      </right>
      <top style="thin">
        <color theme="0" tint="-0.14999847407452621"/>
      </top>
      <bottom style="thin">
        <color indexed="64"/>
      </bottom>
      <diagonal/>
    </border>
    <border>
      <left style="thin">
        <color indexed="64"/>
      </left>
      <right style="thin">
        <color theme="1"/>
      </right>
      <top/>
      <bottom style="thin">
        <color indexed="64"/>
      </bottom>
      <diagonal/>
    </border>
    <border>
      <left/>
      <right style="thin">
        <color indexed="64"/>
      </right>
      <top style="thin">
        <color theme="0" tint="-0.14999847407452621"/>
      </top>
      <bottom style="thin">
        <color theme="0" tint="-0.14999847407452621"/>
      </bottom>
      <diagonal/>
    </border>
    <border>
      <left style="thin">
        <color indexed="64"/>
      </left>
      <right style="thin">
        <color theme="1"/>
      </right>
      <top style="thin">
        <color theme="0" tint="-0.249977111117893"/>
      </top>
      <bottom style="thin">
        <color theme="0" tint="-0.249977111117893"/>
      </bottom>
      <diagonal/>
    </border>
    <border>
      <left/>
      <right style="thin">
        <color theme="0" tint="-0.249977111117893"/>
      </right>
      <top style="thin">
        <color theme="0" tint="-0.249977111117893"/>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left>
      <right style="thin">
        <color theme="1"/>
      </right>
      <top style="thin">
        <color theme="1"/>
      </top>
      <bottom style="thin">
        <color theme="1"/>
      </bottom>
      <diagonal/>
    </border>
    <border>
      <left style="thin">
        <color theme="1"/>
      </left>
      <right style="thin">
        <color theme="0" tint="-0.499984740745262"/>
      </right>
      <top style="thin">
        <color theme="1"/>
      </top>
      <bottom style="thin">
        <color theme="0" tint="-0.499984740745262"/>
      </bottom>
      <diagonal/>
    </border>
    <border>
      <left style="thin">
        <color theme="0" tint="-0.499984740745262"/>
      </left>
      <right style="thin">
        <color theme="0" tint="-0.499984740745262"/>
      </right>
      <top style="thin">
        <color theme="1"/>
      </top>
      <bottom style="thin">
        <color theme="0" tint="-0.499984740745262"/>
      </bottom>
      <diagonal/>
    </border>
    <border>
      <left style="thin">
        <color theme="0" tint="-0.499984740745262"/>
      </left>
      <right style="thin">
        <color theme="1"/>
      </right>
      <top style="thin">
        <color theme="1"/>
      </top>
      <bottom style="thin">
        <color theme="0" tint="-0.499984740745262"/>
      </bottom>
      <diagonal/>
    </border>
    <border>
      <left style="thin">
        <color theme="1"/>
      </left>
      <right style="thin">
        <color theme="0" tint="-0.499984740745262"/>
      </right>
      <top style="thin">
        <color theme="0" tint="-0.499984740745262"/>
      </top>
      <bottom style="thin">
        <color theme="1"/>
      </bottom>
      <diagonal/>
    </border>
    <border>
      <left style="thin">
        <color theme="0" tint="-0.499984740745262"/>
      </left>
      <right style="thin">
        <color theme="0" tint="-0.499984740745262"/>
      </right>
      <top style="thin">
        <color theme="0" tint="-0.499984740745262"/>
      </top>
      <bottom style="thin">
        <color theme="1"/>
      </bottom>
      <diagonal/>
    </border>
    <border>
      <left style="thin">
        <color theme="0" tint="-0.499984740745262"/>
      </left>
      <right style="thin">
        <color theme="1"/>
      </right>
      <top style="thin">
        <color theme="0" tint="-0.499984740745262"/>
      </top>
      <bottom style="thin">
        <color theme="1"/>
      </bottom>
      <diagonal/>
    </border>
    <border>
      <left style="thin">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tint="-0.499984740745262"/>
      </left>
      <right style="thin">
        <color theme="0" tint="-0.499984740745262"/>
      </right>
      <top/>
      <bottom style="thin">
        <color theme="0" tint="-0.499984740745262"/>
      </bottom>
      <diagonal/>
    </border>
    <border>
      <left/>
      <right style="thin">
        <color rgb="FF0D0D0D"/>
      </right>
      <top style="thin">
        <color rgb="FF0D0D0D"/>
      </top>
      <bottom style="thin">
        <color rgb="FFBFBFBF"/>
      </bottom>
      <diagonal/>
    </border>
    <border>
      <left/>
      <right style="thin">
        <color theme="1"/>
      </right>
      <top style="thin">
        <color theme="1"/>
      </top>
      <bottom/>
      <diagonal/>
    </border>
    <border>
      <left style="thin">
        <color theme="0" tint="-0.499984740745262"/>
      </left>
      <right style="thin">
        <color theme="1"/>
      </right>
      <top style="thin">
        <color theme="0" tint="-0.499984740745262"/>
      </top>
      <bottom/>
      <diagonal/>
    </border>
    <border>
      <left style="thin">
        <color theme="1" tint="4.9989318521683403E-2"/>
      </left>
      <right style="thin">
        <color theme="0" tint="-0.249977111117893"/>
      </right>
      <top style="thin">
        <color theme="0" tint="-0.249977111117893"/>
      </top>
      <bottom/>
      <diagonal/>
    </border>
    <border>
      <left style="thin">
        <color theme="0" tint="-0.249977111117893"/>
      </left>
      <right style="thin">
        <color theme="1" tint="4.9989318521683403E-2"/>
      </right>
      <top style="thin">
        <color theme="0" tint="-0.249977111117893"/>
      </top>
      <bottom/>
      <diagonal/>
    </border>
    <border>
      <left style="thin">
        <color theme="0" tint="-0.34998626667073579"/>
      </left>
      <right style="thin">
        <color theme="1" tint="0.14999847407452621"/>
      </right>
      <top/>
      <bottom/>
      <diagonal/>
    </border>
    <border>
      <left style="thin">
        <color theme="1" tint="4.9989318521683403E-2"/>
      </left>
      <right/>
      <top/>
      <bottom/>
      <diagonal/>
    </border>
    <border>
      <left style="thin">
        <color rgb="FF262626"/>
      </left>
      <right style="thin">
        <color rgb="FF262626"/>
      </right>
      <top style="thin">
        <color rgb="FFA6A6A6"/>
      </top>
      <bottom style="thin">
        <color rgb="FFA6A6A6"/>
      </bottom>
      <diagonal/>
    </border>
    <border>
      <left style="thin">
        <color rgb="FF262626"/>
      </left>
      <right/>
      <top style="thin">
        <color rgb="FFA6A6A6"/>
      </top>
      <bottom style="thin">
        <color rgb="FFA6A6A6"/>
      </bottom>
      <diagonal/>
    </border>
    <border>
      <left/>
      <right style="thin">
        <color indexed="64"/>
      </right>
      <top/>
      <bottom style="thin">
        <color indexed="64"/>
      </bottom>
      <diagonal/>
    </border>
    <border>
      <left style="thin">
        <color rgb="FFA6A6A6"/>
      </left>
      <right style="thin">
        <color rgb="FF262626"/>
      </right>
      <top style="thin">
        <color rgb="FF262626"/>
      </top>
      <bottom style="thin">
        <color rgb="FFA6A6A6"/>
      </bottom>
      <diagonal/>
    </border>
    <border>
      <left style="thin">
        <color theme="1" tint="0.14999847407452621"/>
      </left>
      <right style="thin">
        <color theme="0" tint="-0.34998626667073579"/>
      </right>
      <top/>
      <bottom style="thin">
        <color theme="1" tint="0.14999847407452621"/>
      </bottom>
      <diagonal/>
    </border>
    <border>
      <left style="thin">
        <color rgb="FFA6A6A6"/>
      </left>
      <right/>
      <top style="thin">
        <color rgb="FF262626"/>
      </top>
      <bottom style="thin">
        <color rgb="FFA6A6A6"/>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1"/>
      </left>
      <right style="thin">
        <color theme="0" tint="-0.34998626667073579"/>
      </right>
      <top style="thin">
        <color theme="1"/>
      </top>
      <bottom style="thin">
        <color theme="0" tint="-0.34998626667073579"/>
      </bottom>
      <diagonal/>
    </border>
    <border>
      <left style="thin">
        <color rgb="FFA6A6A6"/>
      </left>
      <right style="thin">
        <color theme="1"/>
      </right>
      <top style="thin">
        <color theme="1"/>
      </top>
      <bottom style="thin">
        <color rgb="FFA6A6A6"/>
      </bottom>
      <diagonal/>
    </border>
    <border>
      <left style="thin">
        <color theme="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diagonal/>
    </border>
    <border>
      <left style="thin">
        <color theme="1"/>
      </left>
      <right/>
      <top style="thin">
        <color theme="0" tint="-0.34998626667073579"/>
      </top>
      <bottom style="thin">
        <color theme="0" tint="-0.34998626667073579"/>
      </bottom>
      <diagonal/>
    </border>
    <border>
      <left style="thin">
        <color theme="0" tint="-0.249977111117893"/>
      </left>
      <right style="thin">
        <color theme="1"/>
      </right>
      <top style="thin">
        <color theme="0" tint="-0.249977111117893"/>
      </top>
      <bottom style="thin">
        <color theme="0" tint="-0.249977111117893"/>
      </bottom>
      <diagonal/>
    </border>
    <border>
      <left style="thin">
        <color theme="1"/>
      </left>
      <right/>
      <top style="thin">
        <color theme="0" tint="-0.34998626667073579"/>
      </top>
      <bottom/>
      <diagonal/>
    </border>
    <border>
      <left style="thin">
        <color theme="1"/>
      </left>
      <right/>
      <top style="thin">
        <color theme="0" tint="-0.34998626667073579"/>
      </top>
      <bottom style="thin">
        <color theme="1"/>
      </bottom>
      <diagonal/>
    </border>
    <border>
      <left style="thin">
        <color theme="0" tint="-0.249977111117893"/>
      </left>
      <right style="thin">
        <color theme="1"/>
      </right>
      <top style="thin">
        <color theme="0" tint="-0.249977111117893"/>
      </top>
      <bottom style="thin">
        <color theme="1"/>
      </bottom>
      <diagonal/>
    </border>
    <border>
      <left style="thin">
        <color theme="1"/>
      </left>
      <right style="thin">
        <color theme="0" tint="-0.34998626667073579"/>
      </right>
      <top style="thin">
        <color theme="0" tint="-0.34998626667073579"/>
      </top>
      <bottom/>
      <diagonal/>
    </border>
    <border>
      <left style="thin">
        <color theme="1"/>
      </left>
      <right style="thin">
        <color theme="0" tint="-0.249977111117893"/>
      </right>
      <top style="thin">
        <color theme="0" tint="-0.249977111117893"/>
      </top>
      <bottom style="thin">
        <color theme="0" tint="-0.249977111117893"/>
      </bottom>
      <diagonal/>
    </border>
    <border>
      <left style="thin">
        <color theme="1"/>
      </left>
      <right style="thin">
        <color theme="0" tint="-0.249977111117893"/>
      </right>
      <top style="thin">
        <color theme="0" tint="-0.249977111117893"/>
      </top>
      <bottom style="thin">
        <color theme="1"/>
      </bottom>
      <diagonal/>
    </border>
    <border>
      <left style="thin">
        <color theme="0" tint="-0.34998626667073579"/>
      </left>
      <right/>
      <top style="thin">
        <color theme="0" tint="-0.34998626667073579"/>
      </top>
      <bottom/>
      <diagonal/>
    </border>
    <border>
      <left style="thin">
        <color theme="1"/>
      </left>
      <right style="thin">
        <color theme="0" tint="-0.34998626667073579"/>
      </right>
      <top style="thin">
        <color theme="1"/>
      </top>
      <bottom/>
      <diagonal/>
    </border>
    <border>
      <left style="thin">
        <color rgb="FFA6A6A6"/>
      </left>
      <right style="thin">
        <color theme="1"/>
      </right>
      <top style="thin">
        <color theme="1"/>
      </top>
      <bottom/>
      <diagonal/>
    </border>
    <border>
      <left style="thin">
        <color rgb="FFA6A6A6"/>
      </left>
      <right/>
      <top style="thin">
        <color theme="1"/>
      </top>
      <bottom style="thin">
        <color rgb="FFA6A6A6"/>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1"/>
      </bottom>
      <diagonal/>
    </border>
    <border>
      <left/>
      <right style="thin">
        <color theme="0" tint="-0.34998626667073579"/>
      </right>
      <top style="thin">
        <color theme="1"/>
      </top>
      <bottom style="thin">
        <color theme="0" tint="-0.34998626667073579"/>
      </bottom>
      <diagonal/>
    </border>
    <border>
      <left/>
      <right style="thin">
        <color theme="0" tint="-0.249977111117893"/>
      </right>
      <top style="thin">
        <color theme="0" tint="-0.249977111117893"/>
      </top>
      <bottom style="thin">
        <color theme="1"/>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style="thin">
        <color indexed="64"/>
      </right>
      <top/>
      <bottom/>
      <diagonal/>
    </border>
    <border>
      <left style="thin">
        <color theme="1" tint="0.14999847407452621"/>
      </left>
      <right/>
      <top style="thin">
        <color indexed="64"/>
      </top>
      <bottom style="thin">
        <color theme="1"/>
      </bottom>
      <diagonal/>
    </border>
    <border>
      <left/>
      <right style="thin">
        <color theme="1" tint="0.14999847407452621"/>
      </right>
      <top style="thin">
        <color indexed="64"/>
      </top>
      <bottom style="thin">
        <color theme="1"/>
      </bottom>
      <diagonal/>
    </border>
    <border>
      <left/>
      <right style="thin">
        <color indexed="64"/>
      </right>
      <top style="thin">
        <color theme="0" tint="-0.249977111117893"/>
      </top>
      <bottom style="thin">
        <color theme="0" tint="-0.249977111117893"/>
      </bottom>
      <diagonal/>
    </border>
    <border>
      <left/>
      <right style="thin">
        <color indexed="64"/>
      </right>
      <top style="thin">
        <color theme="0" tint="-0.249977111117893"/>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theme="1"/>
      </left>
      <right style="thin">
        <color theme="0" tint="-0.14999847407452621"/>
      </right>
      <top style="thin">
        <color theme="1"/>
      </top>
      <bottom style="thin">
        <color theme="0" tint="-0.14999847407452621"/>
      </bottom>
      <diagonal/>
    </border>
    <border>
      <left style="thin">
        <color theme="0" tint="-0.14999847407452621"/>
      </left>
      <right style="thin">
        <color theme="0" tint="-0.14999847407452621"/>
      </right>
      <top style="thin">
        <color theme="1"/>
      </top>
      <bottom style="thin">
        <color theme="0" tint="-0.14999847407452621"/>
      </bottom>
      <diagonal/>
    </border>
    <border>
      <left style="thin">
        <color theme="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1"/>
      </bottom>
      <diagonal/>
    </border>
    <border>
      <left style="thin">
        <color theme="0" tint="-0.14999847407452621"/>
      </left>
      <right/>
      <top style="thin">
        <color theme="1"/>
      </top>
      <bottom style="thin">
        <color theme="0" tint="-0.14999847407452621"/>
      </bottom>
      <diagonal/>
    </border>
    <border>
      <left style="thin">
        <color theme="0" tint="-0.14999847407452621"/>
      </left>
      <right/>
      <top style="thin">
        <color theme="0" tint="-0.14999847407452621"/>
      </top>
      <bottom style="thin">
        <color theme="1"/>
      </bottom>
      <diagonal/>
    </border>
    <border>
      <left style="thin">
        <color theme="1"/>
      </left>
      <right style="thin">
        <color theme="1"/>
      </right>
      <top style="thin">
        <color theme="1"/>
      </top>
      <bottom style="thin">
        <color theme="0" tint="-0.14999847407452621"/>
      </bottom>
      <diagonal/>
    </border>
    <border>
      <left style="thin">
        <color theme="1"/>
      </left>
      <right style="thin">
        <color theme="1"/>
      </right>
      <top style="thin">
        <color theme="0" tint="-0.14999847407452621"/>
      </top>
      <bottom style="thin">
        <color theme="0" tint="-0.14999847407452621"/>
      </bottom>
      <diagonal/>
    </border>
    <border>
      <left style="thin">
        <color theme="1"/>
      </left>
      <right style="thin">
        <color theme="1"/>
      </right>
      <top style="thin">
        <color theme="0" tint="-0.14999847407452621"/>
      </top>
      <bottom style="thin">
        <color theme="1"/>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1"/>
      </left>
      <right style="thin">
        <color theme="0" tint="-4.9989318521683403E-2"/>
      </right>
      <top style="thin">
        <color theme="1"/>
      </top>
      <bottom style="thin">
        <color theme="0" tint="-4.9989318521683403E-2"/>
      </bottom>
      <diagonal/>
    </border>
    <border>
      <left style="thin">
        <color theme="0" tint="-4.9989318521683403E-2"/>
      </left>
      <right style="thin">
        <color theme="0" tint="-4.9989318521683403E-2"/>
      </right>
      <top style="thin">
        <color theme="1"/>
      </top>
      <bottom style="thin">
        <color theme="0" tint="-4.9989318521683403E-2"/>
      </bottom>
      <diagonal/>
    </border>
    <border>
      <left style="thin">
        <color theme="0" tint="-4.9989318521683403E-2"/>
      </left>
      <right style="thin">
        <color theme="1"/>
      </right>
      <top style="thin">
        <color theme="1"/>
      </top>
      <bottom style="thin">
        <color theme="0" tint="-4.9989318521683403E-2"/>
      </bottom>
      <diagonal/>
    </border>
    <border>
      <left style="thin">
        <color theme="1"/>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1"/>
      </right>
      <top style="thin">
        <color theme="0" tint="-4.9989318521683403E-2"/>
      </top>
      <bottom style="thin">
        <color theme="0" tint="-4.9989318521683403E-2"/>
      </bottom>
      <diagonal/>
    </border>
    <border>
      <left style="thin">
        <color theme="1"/>
      </left>
      <right style="thin">
        <color theme="0" tint="-4.9989318521683403E-2"/>
      </right>
      <top style="thin">
        <color theme="0" tint="-4.9989318521683403E-2"/>
      </top>
      <bottom style="thin">
        <color theme="1"/>
      </bottom>
      <diagonal/>
    </border>
    <border>
      <left style="thin">
        <color theme="0" tint="-4.9989318521683403E-2"/>
      </left>
      <right style="thin">
        <color theme="0" tint="-4.9989318521683403E-2"/>
      </right>
      <top style="thin">
        <color theme="0" tint="-4.9989318521683403E-2"/>
      </top>
      <bottom style="thin">
        <color theme="1"/>
      </bottom>
      <diagonal/>
    </border>
    <border>
      <left style="thin">
        <color theme="0" tint="-4.9989318521683403E-2"/>
      </left>
      <right style="thin">
        <color theme="1"/>
      </right>
      <top style="thin">
        <color theme="0" tint="-4.9989318521683403E-2"/>
      </top>
      <bottom style="thin">
        <color theme="1"/>
      </bottom>
      <diagonal/>
    </border>
    <border>
      <left/>
      <right style="thin">
        <color theme="1"/>
      </right>
      <top/>
      <bottom/>
      <diagonal/>
    </border>
    <border>
      <left/>
      <right style="thin">
        <color theme="1"/>
      </right>
      <top/>
      <bottom style="thin">
        <color theme="1"/>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xf numFmtId="164" fontId="1" fillId="0" borderId="0" applyFont="0" applyFill="0" applyBorder="0" applyAlignment="0" applyProtection="0"/>
  </cellStyleXfs>
  <cellXfs count="456">
    <xf numFmtId="0" fontId="0" fillId="0" borderId="0" xfId="0"/>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0" fontId="0" fillId="2" borderId="1" xfId="0" applyFill="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xf numFmtId="0" fontId="2" fillId="0" borderId="1" xfId="2" applyBorder="1" applyAlignment="1">
      <alignment horizontal="center"/>
    </xf>
    <xf numFmtId="0" fontId="5" fillId="0" borderId="1" xfId="2" applyFont="1" applyBorder="1" applyAlignment="1">
      <alignment horizontal="center" vertical="center"/>
    </xf>
    <xf numFmtId="0" fontId="4" fillId="0" borderId="1" xfId="3" applyBorder="1" applyAlignment="1">
      <alignment horizontal="left"/>
    </xf>
    <xf numFmtId="0" fontId="4" fillId="0" borderId="1" xfId="3" applyBorder="1"/>
    <xf numFmtId="0" fontId="5" fillId="0" borderId="1" xfId="3" applyFont="1" applyBorder="1" applyAlignment="1">
      <alignment horizontal="center" vertical="center"/>
    </xf>
    <xf numFmtId="0" fontId="2" fillId="0" borderId="1" xfId="2" applyBorder="1"/>
    <xf numFmtId="0" fontId="5" fillId="2" borderId="1" xfId="3" applyFont="1" applyFill="1" applyBorder="1" applyAlignment="1">
      <alignment horizontal="center"/>
    </xf>
    <xf numFmtId="0" fontId="2" fillId="0" borderId="1" xfId="2" applyBorder="1" applyAlignment="1">
      <alignment horizontal="left" vertical="center" readingOrder="1"/>
    </xf>
    <xf numFmtId="0" fontId="2" fillId="0" borderId="1" xfId="2" applyBorder="1" applyAlignment="1">
      <alignment readingOrder="1"/>
    </xf>
    <xf numFmtId="0" fontId="2" fillId="0" borderId="2" xfId="2" applyBorder="1" applyAlignment="1">
      <alignment readingOrder="1"/>
    </xf>
    <xf numFmtId="0" fontId="0" fillId="0" borderId="0" xfId="0" applyAlignment="1">
      <alignment horizontal="center"/>
    </xf>
    <xf numFmtId="0" fontId="0" fillId="0" borderId="0" xfId="0" applyAlignment="1">
      <alignment horizontal="center" vertical="center"/>
    </xf>
    <xf numFmtId="0" fontId="6" fillId="0" borderId="0" xfId="0" applyFont="1"/>
    <xf numFmtId="10" fontId="6" fillId="0" borderId="0" xfId="0" applyNumberFormat="1" applyFont="1"/>
    <xf numFmtId="1" fontId="6" fillId="0" borderId="0" xfId="0" applyNumberFormat="1" applyFont="1"/>
    <xf numFmtId="166" fontId="6" fillId="0" borderId="0" xfId="0" applyNumberFormat="1" applyFont="1"/>
    <xf numFmtId="0" fontId="10" fillId="0" borderId="0" xfId="0" applyFont="1"/>
    <xf numFmtId="0" fontId="11" fillId="0" borderId="0" xfId="0" applyFont="1"/>
    <xf numFmtId="0" fontId="12" fillId="0" borderId="0" xfId="0" applyFont="1" applyAlignment="1">
      <alignment wrapText="1"/>
    </xf>
    <xf numFmtId="1" fontId="0" fillId="0" borderId="0" xfId="0" applyNumberFormat="1"/>
    <xf numFmtId="1" fontId="6" fillId="0" borderId="7" xfId="0" applyNumberFormat="1" applyFont="1" applyBorder="1"/>
    <xf numFmtId="1" fontId="6" fillId="0" borderId="8" xfId="0" applyNumberFormat="1" applyFont="1" applyBorder="1"/>
    <xf numFmtId="1" fontId="6" fillId="6" borderId="8" xfId="0" applyNumberFormat="1" applyFont="1" applyFill="1" applyBorder="1"/>
    <xf numFmtId="1" fontId="6" fillId="6" borderId="7" xfId="0" applyNumberFormat="1" applyFont="1" applyFill="1" applyBorder="1"/>
    <xf numFmtId="0" fontId="13" fillId="0" borderId="0" xfId="0" applyFont="1" applyAlignment="1">
      <alignment wrapText="1"/>
    </xf>
    <xf numFmtId="2" fontId="12" fillId="0" borderId="0" xfId="0" applyNumberFormat="1" applyFont="1" applyAlignment="1">
      <alignment wrapText="1"/>
    </xf>
    <xf numFmtId="0" fontId="12" fillId="0" borderId="0" xfId="0" applyFont="1"/>
    <xf numFmtId="0" fontId="13" fillId="0" borderId="0" xfId="0" applyFont="1" applyAlignment="1">
      <alignment horizontal="center" wrapText="1"/>
    </xf>
    <xf numFmtId="0" fontId="14" fillId="0" borderId="0" xfId="0" applyFont="1"/>
    <xf numFmtId="0" fontId="0" fillId="3" borderId="0" xfId="0" applyFill="1"/>
    <xf numFmtId="0" fontId="0" fillId="0" borderId="3" xfId="0" applyBorder="1"/>
    <xf numFmtId="0" fontId="0" fillId="6" borderId="3" xfId="0" applyFill="1" applyBorder="1"/>
    <xf numFmtId="3" fontId="0" fillId="6" borderId="3" xfId="0" applyNumberFormat="1" applyFill="1" applyBorder="1"/>
    <xf numFmtId="10" fontId="0" fillId="6" borderId="3" xfId="0" applyNumberFormat="1" applyFill="1" applyBorder="1"/>
    <xf numFmtId="3" fontId="0" fillId="0" borderId="3" xfId="0" applyNumberFormat="1" applyBorder="1"/>
    <xf numFmtId="9" fontId="0" fillId="0" borderId="3" xfId="0" applyNumberFormat="1" applyBorder="1"/>
    <xf numFmtId="9" fontId="0" fillId="6" borderId="3" xfId="0" applyNumberFormat="1" applyFill="1" applyBorder="1"/>
    <xf numFmtId="4" fontId="0" fillId="6" borderId="3" xfId="0" applyNumberFormat="1" applyFill="1" applyBorder="1"/>
    <xf numFmtId="1" fontId="0" fillId="6" borderId="3" xfId="0" applyNumberFormat="1" applyFill="1" applyBorder="1"/>
    <xf numFmtId="1" fontId="0" fillId="0" borderId="3" xfId="0" applyNumberFormat="1" applyBorder="1"/>
    <xf numFmtId="0" fontId="0" fillId="0" borderId="14" xfId="0" applyBorder="1"/>
    <xf numFmtId="0" fontId="0" fillId="6" borderId="17" xfId="0" applyFill="1" applyBorder="1"/>
    <xf numFmtId="0" fontId="0" fillId="0" borderId="17" xfId="0" applyBorder="1"/>
    <xf numFmtId="0" fontId="0" fillId="0" borderId="19" xfId="0" applyBorder="1"/>
    <xf numFmtId="3" fontId="0" fillId="0" borderId="20" xfId="0" applyNumberFormat="1" applyBorder="1"/>
    <xf numFmtId="0" fontId="0" fillId="0" borderId="20" xfId="0" applyBorder="1"/>
    <xf numFmtId="0" fontId="0" fillId="4" borderId="14" xfId="0" applyFill="1" applyBorder="1"/>
    <xf numFmtId="0" fontId="0" fillId="4" borderId="15" xfId="0" applyFill="1" applyBorder="1"/>
    <xf numFmtId="0" fontId="0" fillId="4" borderId="16" xfId="0" applyFill="1" applyBorder="1"/>
    <xf numFmtId="10" fontId="0" fillId="6" borderId="18" xfId="0" applyNumberFormat="1" applyFill="1" applyBorder="1"/>
    <xf numFmtId="10" fontId="0" fillId="0" borderId="18" xfId="0" applyNumberFormat="1" applyBorder="1"/>
    <xf numFmtId="4" fontId="0" fillId="0" borderId="20" xfId="0" applyNumberFormat="1" applyBorder="1"/>
    <xf numFmtId="1" fontId="0" fillId="0" borderId="20" xfId="0" applyNumberFormat="1" applyBorder="1"/>
    <xf numFmtId="0" fontId="0" fillId="4" borderId="0" xfId="0" applyFill="1"/>
    <xf numFmtId="10" fontId="0" fillId="0" borderId="0" xfId="0" applyNumberFormat="1"/>
    <xf numFmtId="9" fontId="0" fillId="6" borderId="18" xfId="0" applyNumberFormat="1" applyFill="1" applyBorder="1"/>
    <xf numFmtId="0" fontId="0" fillId="0" borderId="18" xfId="0" applyBorder="1"/>
    <xf numFmtId="10" fontId="16" fillId="9" borderId="21" xfId="0" applyNumberFormat="1" applyFont="1" applyFill="1" applyBorder="1"/>
    <xf numFmtId="10" fontId="0" fillId="0" borderId="0" xfId="1" applyNumberFormat="1" applyFont="1" applyBorder="1"/>
    <xf numFmtId="3" fontId="0" fillId="0" borderId="4" xfId="0" applyNumberFormat="1" applyBorder="1"/>
    <xf numFmtId="0" fontId="0" fillId="0" borderId="4" xfId="0" applyBorder="1"/>
    <xf numFmtId="0" fontId="0" fillId="0" borderId="23" xfId="0" applyBorder="1"/>
    <xf numFmtId="3" fontId="0" fillId="0" borderId="24" xfId="0" applyNumberFormat="1" applyBorder="1"/>
    <xf numFmtId="0" fontId="0" fillId="0" borderId="24" xfId="0" applyBorder="1"/>
    <xf numFmtId="0" fontId="13" fillId="7" borderId="30" xfId="0" applyFont="1" applyFill="1" applyBorder="1" applyAlignment="1">
      <alignment horizontal="center" vertical="center" wrapText="1"/>
    </xf>
    <xf numFmtId="0" fontId="13" fillId="0" borderId="31" xfId="0" applyFont="1" applyBorder="1" applyAlignment="1">
      <alignment vertical="center" wrapText="1"/>
    </xf>
    <xf numFmtId="0" fontId="14" fillId="0" borderId="31" xfId="0" applyFont="1" applyBorder="1"/>
    <xf numFmtId="0" fontId="14" fillId="0" borderId="25" xfId="0" applyFont="1" applyBorder="1"/>
    <xf numFmtId="10" fontId="11" fillId="6" borderId="34" xfId="0" applyNumberFormat="1" applyFont="1" applyFill="1" applyBorder="1"/>
    <xf numFmtId="2" fontId="13" fillId="7" borderId="26" xfId="0" applyNumberFormat="1" applyFont="1" applyFill="1" applyBorder="1" applyAlignment="1">
      <alignment horizontal="center" vertical="center" wrapText="1"/>
    </xf>
    <xf numFmtId="2" fontId="13" fillId="7" borderId="27" xfId="0" applyNumberFormat="1" applyFont="1" applyFill="1" applyBorder="1" applyAlignment="1">
      <alignment horizontal="center" vertical="center" wrapText="1"/>
    </xf>
    <xf numFmtId="2" fontId="12" fillId="0" borderId="29" xfId="0" applyNumberFormat="1" applyFont="1" applyBorder="1" applyAlignment="1">
      <alignment vertical="center" wrapText="1"/>
    </xf>
    <xf numFmtId="0" fontId="11" fillId="0" borderId="28" xfId="0" applyFont="1" applyBorder="1"/>
    <xf numFmtId="2" fontId="12" fillId="0" borderId="28" xfId="0" applyNumberFormat="1" applyFont="1" applyBorder="1" applyAlignment="1">
      <alignment vertical="center" wrapText="1"/>
    </xf>
    <xf numFmtId="0" fontId="11" fillId="0" borderId="41" xfId="0" applyFont="1" applyBorder="1"/>
    <xf numFmtId="2" fontId="11" fillId="0" borderId="28" xfId="0" applyNumberFormat="1" applyFont="1" applyBorder="1"/>
    <xf numFmtId="2" fontId="11" fillId="0" borderId="41" xfId="0" applyNumberFormat="1" applyFont="1" applyBorder="1"/>
    <xf numFmtId="10" fontId="11" fillId="6" borderId="35" xfId="0" applyNumberFormat="1" applyFont="1" applyFill="1" applyBorder="1"/>
    <xf numFmtId="0" fontId="13" fillId="10" borderId="33" xfId="0" applyFont="1" applyFill="1" applyBorder="1" applyAlignment="1">
      <alignment horizontal="center" vertical="center" wrapText="1"/>
    </xf>
    <xf numFmtId="10" fontId="12" fillId="10" borderId="34" xfId="0" applyNumberFormat="1" applyFont="1" applyFill="1" applyBorder="1" applyAlignment="1">
      <alignment vertical="center" wrapText="1"/>
    </xf>
    <xf numFmtId="9" fontId="12" fillId="10" borderId="34" xfId="0" applyNumberFormat="1" applyFont="1" applyFill="1" applyBorder="1" applyAlignment="1">
      <alignment vertical="center" wrapText="1"/>
    </xf>
    <xf numFmtId="0" fontId="14" fillId="6" borderId="36" xfId="0" applyFont="1" applyFill="1" applyBorder="1"/>
    <xf numFmtId="9" fontId="11" fillId="6" borderId="34" xfId="0" applyNumberFormat="1" applyFont="1" applyFill="1" applyBorder="1"/>
    <xf numFmtId="10" fontId="0" fillId="6" borderId="0" xfId="0" applyNumberFormat="1" applyFill="1"/>
    <xf numFmtId="0" fontId="20" fillId="0" borderId="0" xfId="0" applyFont="1"/>
    <xf numFmtId="9" fontId="0" fillId="0" borderId="0" xfId="1" applyFont="1" applyBorder="1"/>
    <xf numFmtId="0" fontId="14" fillId="0" borderId="31" xfId="0" applyFont="1" applyBorder="1" applyAlignment="1">
      <alignment vertical="center" wrapText="1"/>
    </xf>
    <xf numFmtId="2" fontId="14" fillId="0" borderId="42" xfId="0" applyNumberFormat="1" applyFont="1" applyBorder="1"/>
    <xf numFmtId="0" fontId="14" fillId="0" borderId="32" xfId="0" applyFont="1" applyBorder="1"/>
    <xf numFmtId="2" fontId="6" fillId="0" borderId="7" xfId="0" applyNumberFormat="1" applyFont="1" applyBorder="1"/>
    <xf numFmtId="165" fontId="8" fillId="0" borderId="7" xfId="0" applyNumberFormat="1" applyFont="1" applyBorder="1"/>
    <xf numFmtId="2" fontId="6" fillId="0" borderId="8" xfId="0" applyNumberFormat="1" applyFont="1" applyBorder="1"/>
    <xf numFmtId="165" fontId="8" fillId="0" borderId="8" xfId="0" applyNumberFormat="1" applyFont="1" applyBorder="1"/>
    <xf numFmtId="1" fontId="7" fillId="5" borderId="8" xfId="1" applyNumberFormat="1" applyFont="1" applyFill="1" applyBorder="1"/>
    <xf numFmtId="1" fontId="7" fillId="5" borderId="7" xfId="1" applyNumberFormat="1" applyFont="1" applyFill="1" applyBorder="1"/>
    <xf numFmtId="1" fontId="6" fillId="6" borderId="8" xfId="1" applyNumberFormat="1" applyFont="1" applyFill="1" applyBorder="1"/>
    <xf numFmtId="0" fontId="19" fillId="0" borderId="0" xfId="0" applyFont="1" applyAlignment="1">
      <alignment wrapText="1"/>
    </xf>
    <xf numFmtId="0" fontId="0" fillId="6" borderId="46" xfId="0" applyFill="1" applyBorder="1" applyAlignment="1">
      <alignment horizontal="left"/>
    </xf>
    <xf numFmtId="10" fontId="0" fillId="6" borderId="9" xfId="0" applyNumberFormat="1" applyFill="1" applyBorder="1"/>
    <xf numFmtId="0" fontId="0" fillId="6" borderId="47" xfId="0" applyFill="1" applyBorder="1" applyAlignment="1">
      <alignment horizontal="left"/>
    </xf>
    <xf numFmtId="0" fontId="0" fillId="0" borderId="47" xfId="0" applyBorder="1" applyAlignment="1">
      <alignment horizontal="left"/>
    </xf>
    <xf numFmtId="0" fontId="0" fillId="0" borderId="48" xfId="0" applyBorder="1"/>
    <xf numFmtId="0" fontId="0" fillId="0" borderId="10" xfId="0" applyBorder="1"/>
    <xf numFmtId="0" fontId="0" fillId="6" borderId="46" xfId="0" applyFill="1" applyBorder="1"/>
    <xf numFmtId="1" fontId="0" fillId="6" borderId="47" xfId="0" applyNumberFormat="1" applyFill="1" applyBorder="1"/>
    <xf numFmtId="1" fontId="0" fillId="0" borderId="47" xfId="0" applyNumberFormat="1" applyBorder="1"/>
    <xf numFmtId="10" fontId="0" fillId="6" borderId="9" xfId="1" applyNumberFormat="1" applyFont="1" applyFill="1" applyBorder="1"/>
    <xf numFmtId="9" fontId="0" fillId="6" borderId="0" xfId="1" applyFont="1" applyFill="1" applyBorder="1"/>
    <xf numFmtId="10" fontId="0" fillId="6" borderId="13" xfId="1" applyNumberFormat="1" applyFont="1" applyFill="1" applyBorder="1"/>
    <xf numFmtId="10" fontId="0" fillId="6" borderId="11" xfId="1" applyNumberFormat="1" applyFont="1" applyFill="1" applyBorder="1"/>
    <xf numFmtId="9" fontId="0" fillId="0" borderId="11" xfId="1" applyFont="1" applyBorder="1"/>
    <xf numFmtId="0" fontId="0" fillId="0" borderId="0" xfId="0" applyAlignment="1">
      <alignment wrapText="1"/>
    </xf>
    <xf numFmtId="1" fontId="6" fillId="0" borderId="49" xfId="0" applyNumberFormat="1" applyFont="1" applyBorder="1"/>
    <xf numFmtId="2" fontId="6" fillId="0" borderId="49" xfId="0" applyNumberFormat="1" applyFont="1" applyBorder="1"/>
    <xf numFmtId="165" fontId="8" fillId="0" borderId="49" xfId="0" applyNumberFormat="1" applyFont="1" applyBorder="1"/>
    <xf numFmtId="1" fontId="9" fillId="0" borderId="49" xfId="0" applyNumberFormat="1" applyFont="1" applyBorder="1"/>
    <xf numFmtId="1" fontId="6" fillId="6" borderId="49" xfId="0" applyNumberFormat="1" applyFont="1" applyFill="1" applyBorder="1"/>
    <xf numFmtId="1" fontId="7" fillId="5" borderId="49" xfId="1" applyNumberFormat="1" applyFont="1" applyFill="1" applyBorder="1"/>
    <xf numFmtId="10" fontId="16" fillId="11" borderId="0" xfId="0" applyNumberFormat="1" applyFont="1" applyFill="1"/>
    <xf numFmtId="0" fontId="6" fillId="0" borderId="0" xfId="0" applyFont="1" applyAlignment="1">
      <alignment horizontal="center" vertical="center"/>
    </xf>
    <xf numFmtId="0" fontId="6" fillId="4" borderId="51"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53" xfId="0" applyFont="1" applyFill="1" applyBorder="1" applyAlignment="1">
      <alignment horizontal="center" vertical="center"/>
    </xf>
    <xf numFmtId="0" fontId="6" fillId="4" borderId="54" xfId="0" applyFont="1" applyFill="1" applyBorder="1" applyAlignment="1">
      <alignment horizontal="center" vertical="center"/>
    </xf>
    <xf numFmtId="0" fontId="6" fillId="0" borderId="55" xfId="0" applyFont="1" applyBorder="1"/>
    <xf numFmtId="1" fontId="6" fillId="0" borderId="56" xfId="0" applyNumberFormat="1" applyFont="1" applyBorder="1"/>
    <xf numFmtId="2" fontId="6" fillId="0" borderId="56" xfId="0" applyNumberFormat="1" applyFont="1" applyBorder="1"/>
    <xf numFmtId="165" fontId="8" fillId="0" borderId="56" xfId="0" applyNumberFormat="1" applyFont="1" applyBorder="1"/>
    <xf numFmtId="0" fontId="6" fillId="6" borderId="55" xfId="0" applyFont="1" applyFill="1" applyBorder="1"/>
    <xf numFmtId="1" fontId="6" fillId="6" borderId="56" xfId="0" applyNumberFormat="1" applyFont="1" applyFill="1" applyBorder="1"/>
    <xf numFmtId="0" fontId="6" fillId="5" borderId="55" xfId="0" applyFont="1" applyFill="1" applyBorder="1"/>
    <xf numFmtId="1" fontId="7" fillId="5" borderId="56" xfId="1" applyNumberFormat="1" applyFont="1" applyFill="1" applyBorder="1"/>
    <xf numFmtId="10" fontId="16" fillId="0" borderId="0" xfId="0" applyNumberFormat="1" applyFont="1"/>
    <xf numFmtId="1" fontId="10" fillId="0" borderId="61" xfId="0" applyNumberFormat="1" applyFont="1" applyBorder="1"/>
    <xf numFmtId="1" fontId="10" fillId="0" borderId="62" xfId="0" applyNumberFormat="1" applyFont="1" applyBorder="1"/>
    <xf numFmtId="1" fontId="10" fillId="0" borderId="63" xfId="0" applyNumberFormat="1" applyFont="1" applyBorder="1"/>
    <xf numFmtId="1" fontId="10" fillId="0" borderId="64" xfId="0" applyNumberFormat="1" applyFont="1" applyBorder="1"/>
    <xf numFmtId="0" fontId="6" fillId="0" borderId="65" xfId="0" applyFont="1" applyBorder="1"/>
    <xf numFmtId="9" fontId="7" fillId="0" borderId="57" xfId="1" applyFont="1" applyFill="1" applyBorder="1"/>
    <xf numFmtId="9" fontId="7" fillId="0" borderId="58" xfId="1" applyFont="1" applyFill="1" applyBorder="1"/>
    <xf numFmtId="9" fontId="7" fillId="0" borderId="59" xfId="1" applyFont="1" applyFill="1" applyBorder="1"/>
    <xf numFmtId="9" fontId="7" fillId="0" borderId="60" xfId="1" applyFont="1" applyFill="1" applyBorder="1"/>
    <xf numFmtId="10" fontId="16" fillId="11" borderId="16" xfId="1" applyNumberFormat="1" applyFont="1" applyFill="1" applyBorder="1"/>
    <xf numFmtId="10" fontId="16" fillId="11" borderId="21" xfId="1" applyNumberFormat="1" applyFont="1" applyFill="1" applyBorder="1"/>
    <xf numFmtId="10" fontId="16" fillId="9" borderId="12" xfId="0" applyNumberFormat="1" applyFont="1" applyFill="1" applyBorder="1"/>
    <xf numFmtId="0" fontId="10" fillId="0" borderId="66" xfId="0" applyFont="1" applyBorder="1"/>
    <xf numFmtId="1" fontId="6" fillId="6" borderId="67" xfId="1" applyNumberFormat="1" applyFont="1" applyFill="1" applyBorder="1"/>
    <xf numFmtId="0" fontId="6" fillId="0" borderId="68" xfId="0" applyFont="1" applyBorder="1"/>
    <xf numFmtId="0" fontId="6" fillId="6" borderId="68" xfId="0" applyFont="1" applyFill="1" applyBorder="1"/>
    <xf numFmtId="167" fontId="6" fillId="0" borderId="56" xfId="0" applyNumberFormat="1" applyFont="1" applyBorder="1"/>
    <xf numFmtId="0" fontId="0" fillId="0" borderId="70" xfId="0" applyBorder="1"/>
    <xf numFmtId="10" fontId="0" fillId="0" borderId="70" xfId="1" applyNumberFormat="1" applyFont="1" applyBorder="1"/>
    <xf numFmtId="0" fontId="0" fillId="0" borderId="72" xfId="0" applyBorder="1"/>
    <xf numFmtId="10" fontId="0" fillId="0" borderId="73" xfId="1" applyNumberFormat="1" applyFont="1" applyBorder="1"/>
    <xf numFmtId="10" fontId="0" fillId="0" borderId="74" xfId="0" applyNumberFormat="1" applyBorder="1"/>
    <xf numFmtId="0" fontId="0" fillId="0" borderId="75" xfId="0" applyBorder="1"/>
    <xf numFmtId="10" fontId="0" fillId="0" borderId="76" xfId="1" applyNumberFormat="1" applyFont="1" applyBorder="1"/>
    <xf numFmtId="9" fontId="0" fillId="0" borderId="70" xfId="0" applyNumberFormat="1" applyBorder="1"/>
    <xf numFmtId="9" fontId="0" fillId="0" borderId="73" xfId="0" applyNumberFormat="1" applyBorder="1"/>
    <xf numFmtId="9" fontId="0" fillId="0" borderId="76" xfId="0" applyNumberFormat="1" applyBorder="1"/>
    <xf numFmtId="2" fontId="0" fillId="0" borderId="70" xfId="0" applyNumberFormat="1" applyBorder="1"/>
    <xf numFmtId="0" fontId="0" fillId="0" borderId="73" xfId="0" applyBorder="1"/>
    <xf numFmtId="0" fontId="0" fillId="0" borderId="74" xfId="0" applyBorder="1"/>
    <xf numFmtId="0" fontId="0" fillId="0" borderId="78" xfId="0" applyBorder="1"/>
    <xf numFmtId="0" fontId="0" fillId="0" borderId="79" xfId="0" applyBorder="1"/>
    <xf numFmtId="10" fontId="0" fillId="0" borderId="79" xfId="1" applyNumberFormat="1" applyFont="1" applyBorder="1"/>
    <xf numFmtId="2" fontId="0" fillId="0" borderId="76" xfId="0" applyNumberFormat="1" applyBorder="1"/>
    <xf numFmtId="10" fontId="0" fillId="0" borderId="77" xfId="1" applyNumberFormat="1" applyFont="1" applyBorder="1"/>
    <xf numFmtId="0" fontId="0" fillId="4" borderId="80" xfId="0" applyFill="1" applyBorder="1" applyAlignment="1">
      <alignment horizontal="center"/>
    </xf>
    <xf numFmtId="0" fontId="0" fillId="4" borderId="81" xfId="0" applyFill="1" applyBorder="1" applyAlignment="1">
      <alignment horizontal="center"/>
    </xf>
    <xf numFmtId="0" fontId="0" fillId="4" borderId="82" xfId="0" applyFill="1" applyBorder="1" applyAlignment="1">
      <alignment horizontal="center"/>
    </xf>
    <xf numFmtId="0" fontId="0" fillId="4" borderId="43" xfId="0" applyFill="1" applyBorder="1" applyAlignment="1">
      <alignment horizontal="center"/>
    </xf>
    <xf numFmtId="0" fontId="0" fillId="4" borderId="71" xfId="0" applyFill="1" applyBorder="1" applyAlignment="1">
      <alignment horizontal="center"/>
    </xf>
    <xf numFmtId="0" fontId="0" fillId="4" borderId="71" xfId="0" applyFill="1" applyBorder="1"/>
    <xf numFmtId="10" fontId="0" fillId="4" borderId="0" xfId="1" applyNumberFormat="1" applyFont="1" applyFill="1" applyBorder="1" applyAlignment="1">
      <alignment horizontal="center"/>
    </xf>
    <xf numFmtId="10" fontId="0" fillId="0" borderId="83" xfId="0" applyNumberFormat="1" applyBorder="1"/>
    <xf numFmtId="10" fontId="0" fillId="0" borderId="76" xfId="0" applyNumberFormat="1" applyBorder="1"/>
    <xf numFmtId="9" fontId="0" fillId="0" borderId="73" xfId="1" applyFont="1" applyFill="1" applyBorder="1"/>
    <xf numFmtId="9" fontId="0" fillId="0" borderId="76" xfId="1" applyFont="1" applyFill="1" applyBorder="1"/>
    <xf numFmtId="10" fontId="0" fillId="4" borderId="80" xfId="0" applyNumberFormat="1" applyFill="1" applyBorder="1" applyAlignment="1">
      <alignment horizontal="center"/>
    </xf>
    <xf numFmtId="0" fontId="22" fillId="7" borderId="84" xfId="0" applyFont="1" applyFill="1" applyBorder="1" applyAlignment="1">
      <alignment horizontal="center"/>
    </xf>
    <xf numFmtId="9" fontId="0" fillId="0" borderId="83" xfId="0" applyNumberFormat="1" applyBorder="1"/>
    <xf numFmtId="0" fontId="0" fillId="4" borderId="46" xfId="0" applyFill="1" applyBorder="1" applyAlignment="1">
      <alignment horizontal="center"/>
    </xf>
    <xf numFmtId="0" fontId="0" fillId="4" borderId="9" xfId="0" applyFill="1" applyBorder="1" applyAlignment="1">
      <alignment horizontal="center"/>
    </xf>
    <xf numFmtId="0" fontId="0" fillId="4" borderId="85" xfId="0" applyFill="1" applyBorder="1" applyAlignment="1">
      <alignment horizontal="center"/>
    </xf>
    <xf numFmtId="165" fontId="16" fillId="9" borderId="71" xfId="1" applyNumberFormat="1" applyFont="1" applyFill="1" applyBorder="1"/>
    <xf numFmtId="9" fontId="16" fillId="9" borderId="71" xfId="0" applyNumberFormat="1" applyFont="1" applyFill="1" applyBorder="1"/>
    <xf numFmtId="0" fontId="0" fillId="0" borderId="71" xfId="0" applyBorder="1"/>
    <xf numFmtId="10" fontId="16" fillId="11" borderId="71" xfId="0" applyNumberFormat="1" applyFont="1" applyFill="1" applyBorder="1"/>
    <xf numFmtId="10" fontId="0" fillId="0" borderId="80" xfId="0" applyNumberFormat="1" applyBorder="1"/>
    <xf numFmtId="10" fontId="0" fillId="0" borderId="86" xfId="0" applyNumberFormat="1" applyBorder="1"/>
    <xf numFmtId="9" fontId="0" fillId="0" borderId="86" xfId="0" applyNumberFormat="1" applyBorder="1"/>
    <xf numFmtId="9" fontId="16" fillId="11" borderId="71" xfId="1" applyFont="1" applyFill="1" applyBorder="1"/>
    <xf numFmtId="0" fontId="0" fillId="0" borderId="87" xfId="0" applyBorder="1"/>
    <xf numFmtId="0" fontId="0" fillId="0" borderId="88" xfId="0" applyBorder="1"/>
    <xf numFmtId="0" fontId="0" fillId="0" borderId="80" xfId="0" applyBorder="1"/>
    <xf numFmtId="3" fontId="0" fillId="0" borderId="81" xfId="0" applyNumberFormat="1" applyBorder="1"/>
    <xf numFmtId="0" fontId="0" fillId="0" borderId="81" xfId="0" applyBorder="1"/>
    <xf numFmtId="10" fontId="16" fillId="9" borderId="71" xfId="0" applyNumberFormat="1" applyFont="1" applyFill="1" applyBorder="1"/>
    <xf numFmtId="0" fontId="22" fillId="7" borderId="0" xfId="0" applyFont="1" applyFill="1"/>
    <xf numFmtId="0" fontId="2" fillId="0" borderId="0" xfId="2" applyFill="1" applyBorder="1"/>
    <xf numFmtId="0" fontId="22" fillId="0" borderId="0" xfId="0" applyFont="1"/>
    <xf numFmtId="10" fontId="16" fillId="9" borderId="82" xfId="0" applyNumberFormat="1" applyFont="1" applyFill="1" applyBorder="1"/>
    <xf numFmtId="0" fontId="0" fillId="0" borderId="2" xfId="0" applyBorder="1"/>
    <xf numFmtId="0" fontId="6" fillId="13" borderId="55" xfId="0" applyFont="1" applyFill="1" applyBorder="1"/>
    <xf numFmtId="0" fontId="2" fillId="0" borderId="0" xfId="2" applyBorder="1" applyAlignment="1">
      <alignment readingOrder="1"/>
    </xf>
    <xf numFmtId="0" fontId="0" fillId="14" borderId="1" xfId="0" applyFill="1" applyBorder="1"/>
    <xf numFmtId="0" fontId="6" fillId="13" borderId="50" xfId="0" applyFont="1" applyFill="1" applyBorder="1"/>
    <xf numFmtId="0" fontId="0" fillId="4" borderId="44" xfId="0" applyFill="1" applyBorder="1" applyAlignment="1">
      <alignment horizontal="center"/>
    </xf>
    <xf numFmtId="0" fontId="0" fillId="4" borderId="45" xfId="0" applyFill="1" applyBorder="1" applyAlignment="1">
      <alignment horizontal="center"/>
    </xf>
    <xf numFmtId="0" fontId="0" fillId="4" borderId="80" xfId="0" applyFill="1" applyBorder="1" applyAlignment="1">
      <alignment horizontal="center" vertical="center"/>
    </xf>
    <xf numFmtId="0" fontId="0" fillId="4" borderId="81" xfId="0" applyFill="1" applyBorder="1" applyAlignment="1">
      <alignment horizontal="center" vertical="center"/>
    </xf>
    <xf numFmtId="0" fontId="0" fillId="4" borderId="82" xfId="0" applyFill="1" applyBorder="1" applyAlignment="1">
      <alignment horizontal="center" vertical="center"/>
    </xf>
    <xf numFmtId="0" fontId="0" fillId="4" borderId="15" xfId="0" applyFill="1" applyBorder="1" applyAlignment="1">
      <alignment horizontal="center"/>
    </xf>
    <xf numFmtId="0" fontId="0" fillId="4" borderId="16" xfId="0" applyFill="1" applyBorder="1" applyAlignment="1">
      <alignment horizontal="center"/>
    </xf>
    <xf numFmtId="0" fontId="0" fillId="4" borderId="0" xfId="0" applyFill="1" applyAlignment="1">
      <alignment horizontal="center"/>
    </xf>
    <xf numFmtId="2" fontId="12" fillId="0" borderId="89" xfId="0" applyNumberFormat="1" applyFont="1" applyBorder="1" applyAlignment="1">
      <alignment vertical="center" wrapText="1"/>
    </xf>
    <xf numFmtId="0" fontId="5" fillId="0" borderId="1" xfId="2" applyFont="1" applyBorder="1" applyAlignment="1">
      <alignment horizontal="left" vertical="center"/>
    </xf>
    <xf numFmtId="0" fontId="2" fillId="0" borderId="1" xfId="2" applyBorder="1" applyAlignment="1">
      <alignment horizontal="left" vertical="center"/>
    </xf>
    <xf numFmtId="0" fontId="0" fillId="0" borderId="17" xfId="0" applyBorder="1" applyAlignment="1">
      <alignment vertical="center"/>
    </xf>
    <xf numFmtId="10" fontId="0" fillId="0" borderId="3" xfId="1" applyNumberFormat="1" applyFont="1" applyBorder="1" applyAlignment="1">
      <alignment vertical="center"/>
    </xf>
    <xf numFmtId="10" fontId="0" fillId="0" borderId="18" xfId="0" applyNumberFormat="1" applyBorder="1" applyAlignment="1">
      <alignment vertical="center"/>
    </xf>
    <xf numFmtId="0" fontId="0" fillId="0" borderId="19" xfId="0" applyBorder="1" applyAlignment="1">
      <alignment vertical="center"/>
    </xf>
    <xf numFmtId="10" fontId="0" fillId="0" borderId="20" xfId="1" applyNumberFormat="1" applyFont="1" applyBorder="1" applyAlignment="1">
      <alignment vertical="center"/>
    </xf>
    <xf numFmtId="10" fontId="0" fillId="0" borderId="21" xfId="0" applyNumberFormat="1" applyBorder="1" applyAlignment="1">
      <alignment vertical="center"/>
    </xf>
    <xf numFmtId="3" fontId="0" fillId="0" borderId="0" xfId="0" applyNumberFormat="1"/>
    <xf numFmtId="4" fontId="0" fillId="0" borderId="0" xfId="0" applyNumberFormat="1"/>
    <xf numFmtId="9" fontId="0" fillId="0" borderId="3" xfId="1" applyFont="1" applyBorder="1"/>
    <xf numFmtId="0" fontId="6" fillId="15" borderId="53" xfId="0" applyFont="1" applyFill="1" applyBorder="1" applyAlignment="1">
      <alignment horizontal="center" vertical="center"/>
    </xf>
    <xf numFmtId="0" fontId="6" fillId="16" borderId="53" xfId="0" applyFont="1" applyFill="1" applyBorder="1" applyAlignment="1">
      <alignment horizontal="center" vertical="center"/>
    </xf>
    <xf numFmtId="0" fontId="25" fillId="0" borderId="0" xfId="0" applyFont="1"/>
    <xf numFmtId="9" fontId="0" fillId="0" borderId="0" xfId="1" applyFont="1"/>
    <xf numFmtId="1" fontId="0" fillId="0" borderId="48" xfId="0" applyNumberFormat="1" applyBorder="1"/>
    <xf numFmtId="0" fontId="13" fillId="0" borderId="91" xfId="0" applyFont="1" applyBorder="1" applyAlignment="1">
      <alignment vertical="center" wrapText="1"/>
    </xf>
    <xf numFmtId="10" fontId="12" fillId="17" borderId="92" xfId="0" applyNumberFormat="1" applyFont="1" applyFill="1" applyBorder="1" applyAlignment="1">
      <alignment vertical="center" wrapText="1"/>
    </xf>
    <xf numFmtId="2" fontId="14" fillId="18" borderId="42" xfId="0" applyNumberFormat="1" applyFont="1" applyFill="1" applyBorder="1"/>
    <xf numFmtId="1" fontId="6" fillId="0" borderId="58" xfId="0" applyNumberFormat="1" applyFont="1" applyBorder="1"/>
    <xf numFmtId="0" fontId="10" fillId="0" borderId="93" xfId="0" applyFont="1" applyBorder="1"/>
    <xf numFmtId="9" fontId="16" fillId="19" borderId="3" xfId="0" applyNumberFormat="1" applyFont="1" applyFill="1" applyBorder="1"/>
    <xf numFmtId="10" fontId="16" fillId="13" borderId="0" xfId="0" applyNumberFormat="1" applyFont="1" applyFill="1"/>
    <xf numFmtId="0" fontId="0" fillId="13" borderId="17" xfId="0" applyFill="1" applyBorder="1"/>
    <xf numFmtId="3" fontId="0" fillId="13" borderId="3" xfId="0" applyNumberFormat="1" applyFill="1" applyBorder="1"/>
    <xf numFmtId="9" fontId="0" fillId="13" borderId="3" xfId="0" applyNumberFormat="1" applyFill="1" applyBorder="1"/>
    <xf numFmtId="4" fontId="0" fillId="13" borderId="3" xfId="0" applyNumberFormat="1" applyFill="1" applyBorder="1"/>
    <xf numFmtId="10" fontId="0" fillId="13" borderId="18" xfId="0" applyNumberFormat="1" applyFill="1" applyBorder="1"/>
    <xf numFmtId="9" fontId="7" fillId="0" borderId="60" xfId="1" applyFont="1" applyBorder="1" applyAlignment="1">
      <alignment horizontal="right"/>
    </xf>
    <xf numFmtId="2" fontId="13" fillId="7" borderId="94" xfId="0" applyNumberFormat="1" applyFont="1" applyFill="1" applyBorder="1" applyAlignment="1">
      <alignment horizontal="center" vertical="center" wrapText="1"/>
    </xf>
    <xf numFmtId="0" fontId="27" fillId="20" borderId="1" xfId="0" applyFont="1" applyFill="1" applyBorder="1" applyAlignment="1">
      <alignment horizontal="center"/>
    </xf>
    <xf numFmtId="0" fontId="27" fillId="0" borderId="1" xfId="0" applyFont="1" applyBorder="1" applyAlignment="1">
      <alignment horizontal="center"/>
    </xf>
    <xf numFmtId="0" fontId="27" fillId="0" borderId="1" xfId="0" applyFont="1" applyBorder="1" applyAlignment="1">
      <alignment horizontal="center" vertical="center"/>
    </xf>
    <xf numFmtId="0" fontId="28" fillId="0" borderId="1" xfId="2" applyFont="1" applyBorder="1" applyAlignment="1">
      <alignment horizontal="left" vertical="center" readingOrder="1"/>
    </xf>
    <xf numFmtId="0" fontId="27" fillId="0" borderId="1" xfId="0" applyFont="1" applyBorder="1"/>
    <xf numFmtId="0" fontId="27" fillId="21" borderId="1" xfId="0" applyFont="1" applyFill="1" applyBorder="1" applyAlignment="1">
      <alignment horizontal="center"/>
    </xf>
    <xf numFmtId="0" fontId="28" fillId="0" borderId="0" xfId="2" applyFont="1"/>
    <xf numFmtId="0" fontId="28" fillId="0" borderId="2" xfId="2" applyFont="1" applyBorder="1" applyAlignment="1">
      <alignment readingOrder="1"/>
    </xf>
    <xf numFmtId="2" fontId="11" fillId="13" borderId="41" xfId="0" applyNumberFormat="1" applyFont="1" applyFill="1" applyBorder="1"/>
    <xf numFmtId="2" fontId="12" fillId="13" borderId="29" xfId="0" applyNumberFormat="1" applyFont="1" applyFill="1" applyBorder="1" applyAlignment="1">
      <alignment vertical="center" wrapText="1"/>
    </xf>
    <xf numFmtId="2" fontId="12" fillId="13" borderId="28" xfId="0" applyNumberFormat="1" applyFont="1" applyFill="1" applyBorder="1" applyAlignment="1">
      <alignment vertical="center" wrapText="1"/>
    </xf>
    <xf numFmtId="9" fontId="11" fillId="6" borderId="35" xfId="0" applyNumberFormat="1" applyFont="1" applyFill="1" applyBorder="1"/>
    <xf numFmtId="10" fontId="16" fillId="18" borderId="71" xfId="0" applyNumberFormat="1" applyFont="1" applyFill="1" applyBorder="1"/>
    <xf numFmtId="2" fontId="14" fillId="18" borderId="95" xfId="0" applyNumberFormat="1" applyFont="1" applyFill="1" applyBorder="1"/>
    <xf numFmtId="2" fontId="14" fillId="0" borderId="95" xfId="0" applyNumberFormat="1" applyFont="1" applyBorder="1"/>
    <xf numFmtId="2" fontId="13" fillId="7" borderId="96" xfId="0" applyNumberFormat="1" applyFont="1" applyFill="1" applyBorder="1" applyAlignment="1">
      <alignment horizontal="center" vertical="center" wrapText="1"/>
    </xf>
    <xf numFmtId="2" fontId="12" fillId="0" borderId="97" xfId="0" applyNumberFormat="1" applyFont="1" applyBorder="1" applyAlignment="1">
      <alignment vertical="center" wrapText="1"/>
    </xf>
    <xf numFmtId="2" fontId="12" fillId="0" borderId="98" xfId="0" applyNumberFormat="1" applyFont="1" applyBorder="1" applyAlignment="1">
      <alignment vertical="center" wrapText="1"/>
    </xf>
    <xf numFmtId="2" fontId="12" fillId="0" borderId="99" xfId="0" applyNumberFormat="1" applyFont="1" applyBorder="1" applyAlignment="1">
      <alignment vertical="center" wrapText="1"/>
    </xf>
    <xf numFmtId="2" fontId="12" fillId="0" borderId="100" xfId="0" applyNumberFormat="1" applyFont="1" applyBorder="1" applyAlignment="1">
      <alignment vertical="center" wrapText="1"/>
    </xf>
    <xf numFmtId="2" fontId="12" fillId="0" borderId="22" xfId="0" applyNumberFormat="1" applyFont="1" applyBorder="1" applyAlignment="1">
      <alignment vertical="center" wrapText="1"/>
    </xf>
    <xf numFmtId="0" fontId="11" fillId="0" borderId="22" xfId="0" applyFont="1" applyBorder="1"/>
    <xf numFmtId="2" fontId="13" fillId="7" borderId="101" xfId="0" applyNumberFormat="1" applyFont="1" applyFill="1" applyBorder="1" applyAlignment="1">
      <alignment horizontal="center" vertical="center" wrapText="1"/>
    </xf>
    <xf numFmtId="2" fontId="13" fillId="7" borderId="102" xfId="0" applyNumberFormat="1" applyFont="1" applyFill="1" applyBorder="1" applyAlignment="1">
      <alignment horizontal="center" vertical="center" wrapText="1"/>
    </xf>
    <xf numFmtId="2" fontId="12" fillId="0" borderId="103" xfId="0" applyNumberFormat="1" applyFont="1" applyBorder="1" applyAlignment="1">
      <alignment vertical="center" wrapText="1"/>
    </xf>
    <xf numFmtId="2" fontId="12" fillId="0" borderId="104" xfId="0" applyNumberFormat="1" applyFont="1" applyBorder="1" applyAlignment="1">
      <alignment vertical="center" wrapText="1"/>
    </xf>
    <xf numFmtId="2" fontId="12" fillId="0" borderId="105" xfId="0" applyNumberFormat="1" applyFont="1" applyBorder="1" applyAlignment="1">
      <alignment vertical="center" wrapText="1"/>
    </xf>
    <xf numFmtId="2" fontId="12" fillId="0" borderId="106" xfId="0" applyNumberFormat="1" applyFont="1" applyBorder="1" applyAlignment="1">
      <alignment vertical="center" wrapText="1"/>
    </xf>
    <xf numFmtId="2" fontId="12" fillId="0" borderId="107" xfId="0" applyNumberFormat="1" applyFont="1" applyBorder="1" applyAlignment="1">
      <alignment vertical="center" wrapText="1"/>
    </xf>
    <xf numFmtId="0" fontId="11" fillId="0" borderId="106" xfId="0" applyFont="1" applyBorder="1"/>
    <xf numFmtId="0" fontId="11" fillId="0" borderId="47" xfId="0" applyFont="1" applyBorder="1"/>
    <xf numFmtId="0" fontId="11" fillId="0" borderId="108" xfId="0" applyFont="1" applyBorder="1"/>
    <xf numFmtId="2" fontId="11" fillId="13" borderId="109" xfId="0" applyNumberFormat="1" applyFont="1" applyFill="1" applyBorder="1"/>
    <xf numFmtId="2" fontId="12" fillId="0" borderId="110" xfId="0" applyNumberFormat="1" applyFont="1" applyBorder="1" applyAlignment="1">
      <alignment vertical="center" wrapText="1"/>
    </xf>
    <xf numFmtId="2" fontId="12" fillId="0" borderId="111" xfId="0" applyNumberFormat="1" applyFont="1" applyBorder="1" applyAlignment="1">
      <alignment vertical="center" wrapText="1"/>
    </xf>
    <xf numFmtId="2" fontId="12" fillId="0" borderId="112" xfId="0" applyNumberFormat="1" applyFont="1" applyBorder="1" applyAlignment="1">
      <alignment vertical="center" wrapText="1"/>
    </xf>
    <xf numFmtId="0" fontId="26" fillId="0" borderId="112" xfId="0" applyFont="1" applyBorder="1" applyAlignment="1">
      <alignment wrapText="1"/>
    </xf>
    <xf numFmtId="0" fontId="11" fillId="0" borderId="112" xfId="0" applyFont="1" applyBorder="1"/>
    <xf numFmtId="166" fontId="12" fillId="0" borderId="107" xfId="0" applyNumberFormat="1" applyFont="1" applyBorder="1" applyAlignment="1">
      <alignment vertical="center" wrapText="1"/>
    </xf>
    <xf numFmtId="0" fontId="11" fillId="0" borderId="107" xfId="0" applyFont="1" applyBorder="1"/>
    <xf numFmtId="0" fontId="11" fillId="0" borderId="113" xfId="0" applyFont="1" applyBorder="1"/>
    <xf numFmtId="0" fontId="11" fillId="0" borderId="110" xfId="0" applyFont="1" applyBorder="1"/>
    <xf numFmtId="2" fontId="11" fillId="0" borderId="110" xfId="0" applyNumberFormat="1" applyFont="1" applyBorder="1"/>
    <xf numFmtId="2" fontId="12" fillId="0" borderId="114" xfId="0" applyNumberFormat="1" applyFont="1" applyBorder="1" applyAlignment="1">
      <alignment vertical="center" wrapText="1"/>
    </xf>
    <xf numFmtId="2" fontId="13" fillId="7" borderId="115" xfId="0" applyNumberFormat="1" applyFont="1" applyFill="1" applyBorder="1" applyAlignment="1">
      <alignment horizontal="center" vertical="center" wrapText="1"/>
    </xf>
    <xf numFmtId="2" fontId="13" fillId="7" borderId="116" xfId="0" applyNumberFormat="1" applyFont="1" applyFill="1" applyBorder="1" applyAlignment="1">
      <alignment horizontal="center" vertical="center" wrapText="1"/>
    </xf>
    <xf numFmtId="2" fontId="13" fillId="7" borderId="117" xfId="0" applyNumberFormat="1" applyFont="1" applyFill="1" applyBorder="1" applyAlignment="1">
      <alignment horizontal="center" vertical="center" wrapText="1"/>
    </xf>
    <xf numFmtId="2" fontId="12" fillId="0" borderId="118" xfId="0" applyNumberFormat="1" applyFont="1" applyBorder="1" applyAlignment="1">
      <alignment vertical="center" wrapText="1"/>
    </xf>
    <xf numFmtId="2" fontId="13" fillId="7" borderId="120" xfId="0" applyNumberFormat="1" applyFont="1" applyFill="1" applyBorder="1" applyAlignment="1">
      <alignment horizontal="center" vertical="center" wrapText="1"/>
    </xf>
    <xf numFmtId="0" fontId="11" fillId="0" borderId="121" xfId="0" applyFont="1" applyBorder="1"/>
    <xf numFmtId="0" fontId="4" fillId="0" borderId="0" xfId="3" applyAlignment="1">
      <alignment wrapText="1"/>
    </xf>
    <xf numFmtId="1" fontId="6" fillId="14" borderId="49" xfId="0" applyNumberFormat="1" applyFont="1" applyFill="1" applyBorder="1" applyAlignment="1">
      <alignment horizontal="right"/>
    </xf>
    <xf numFmtId="9" fontId="7" fillId="14" borderId="59" xfId="1" applyFont="1" applyFill="1" applyBorder="1" applyAlignment="1">
      <alignment horizontal="right"/>
    </xf>
    <xf numFmtId="9" fontId="7" fillId="14" borderId="59" xfId="1" applyFont="1" applyFill="1" applyBorder="1"/>
    <xf numFmtId="10" fontId="0" fillId="6" borderId="0" xfId="1" applyNumberFormat="1" applyFont="1" applyFill="1" applyBorder="1"/>
    <xf numFmtId="9" fontId="0" fillId="6" borderId="123" xfId="1" applyFont="1" applyFill="1" applyBorder="1"/>
    <xf numFmtId="168" fontId="0" fillId="6" borderId="124" xfId="1" applyNumberFormat="1" applyFont="1" applyFill="1" applyBorder="1"/>
    <xf numFmtId="10" fontId="21" fillId="0" borderId="63" xfId="0" applyNumberFormat="1" applyFont="1" applyBorder="1"/>
    <xf numFmtId="1" fontId="12" fillId="0" borderId="112" xfId="0" applyNumberFormat="1" applyFont="1" applyBorder="1" applyAlignment="1">
      <alignment vertical="center" wrapText="1"/>
    </xf>
    <xf numFmtId="1" fontId="12" fillId="0" borderId="118" xfId="0" applyNumberFormat="1" applyFont="1" applyBorder="1" applyAlignment="1">
      <alignment vertical="center" wrapText="1"/>
    </xf>
    <xf numFmtId="1" fontId="29" fillId="0" borderId="112" xfId="0" applyNumberFormat="1" applyFont="1" applyBorder="1" applyAlignment="1">
      <alignment wrapText="1" readingOrder="1"/>
    </xf>
    <xf numFmtId="1" fontId="29" fillId="0" borderId="118" xfId="0" applyNumberFormat="1" applyFont="1" applyBorder="1" applyAlignment="1">
      <alignment wrapText="1" readingOrder="1"/>
    </xf>
    <xf numFmtId="1" fontId="11" fillId="0" borderId="112" xfId="0" applyNumberFormat="1" applyFont="1" applyBorder="1"/>
    <xf numFmtId="1" fontId="29" fillId="0" borderId="112" xfId="0" applyNumberFormat="1" applyFont="1" applyBorder="1" applyAlignment="1">
      <alignment wrapText="1"/>
    </xf>
    <xf numFmtId="1" fontId="11" fillId="0" borderId="118" xfId="0" applyNumberFormat="1" applyFont="1" applyBorder="1"/>
    <xf numFmtId="1" fontId="11" fillId="0" borderId="113" xfId="0" applyNumberFormat="1" applyFont="1" applyBorder="1"/>
    <xf numFmtId="1" fontId="11" fillId="0" borderId="119" xfId="0" applyNumberFormat="1" applyFont="1" applyBorder="1"/>
    <xf numFmtId="1" fontId="14" fillId="0" borderId="95" xfId="0" applyNumberFormat="1" applyFont="1" applyBorder="1"/>
    <xf numFmtId="1" fontId="14" fillId="18" borderId="95" xfId="0" applyNumberFormat="1" applyFont="1" applyFill="1" applyBorder="1"/>
    <xf numFmtId="1" fontId="12" fillId="0" borderId="107" xfId="0" applyNumberFormat="1" applyFont="1" applyBorder="1" applyAlignment="1">
      <alignment vertical="center" wrapText="1"/>
    </xf>
    <xf numFmtId="1" fontId="29" fillId="0" borderId="107" xfId="0" applyNumberFormat="1" applyFont="1" applyBorder="1" applyAlignment="1">
      <alignment wrapText="1" readingOrder="1"/>
    </xf>
    <xf numFmtId="1" fontId="11" fillId="0" borderId="107" xfId="0" applyNumberFormat="1" applyFont="1" applyBorder="1"/>
    <xf numFmtId="1" fontId="11" fillId="0" borderId="110" xfId="0" applyNumberFormat="1" applyFont="1" applyBorder="1"/>
    <xf numFmtId="1" fontId="6" fillId="6" borderId="49" xfId="0" applyNumberFormat="1" applyFont="1" applyFill="1" applyBorder="1" applyAlignment="1">
      <alignment horizontal="right"/>
    </xf>
    <xf numFmtId="1" fontId="6" fillId="5" borderId="49" xfId="0" applyNumberFormat="1" applyFont="1" applyFill="1" applyBorder="1" applyAlignment="1">
      <alignment horizontal="right"/>
    </xf>
    <xf numFmtId="0" fontId="6" fillId="0" borderId="129" xfId="0" applyFont="1" applyBorder="1" applyAlignment="1">
      <alignment horizontal="center" vertical="center"/>
    </xf>
    <xf numFmtId="0" fontId="6" fillId="0" borderId="130" xfId="0" applyFont="1" applyBorder="1" applyAlignment="1">
      <alignment horizontal="center" vertical="center"/>
    </xf>
    <xf numFmtId="0" fontId="6" fillId="14" borderId="130" xfId="0" applyFont="1" applyFill="1" applyBorder="1" applyAlignment="1">
      <alignment horizontal="center" vertical="center"/>
    </xf>
    <xf numFmtId="0" fontId="6" fillId="0" borderId="131" xfId="0" applyFont="1" applyBorder="1" applyAlignment="1">
      <alignment horizontal="center" vertical="center"/>
    </xf>
    <xf numFmtId="0" fontId="6" fillId="2" borderId="53" xfId="0" applyFont="1" applyFill="1" applyBorder="1" applyAlignment="1">
      <alignment horizontal="center" vertical="center"/>
    </xf>
    <xf numFmtId="0" fontId="2" fillId="0" borderId="1" xfId="2" applyBorder="1" applyAlignment="1">
      <alignment horizontal="left"/>
    </xf>
    <xf numFmtId="0" fontId="31" fillId="0" borderId="0" xfId="0" applyFont="1"/>
    <xf numFmtId="2" fontId="14" fillId="0" borderId="95" xfId="0" applyNumberFormat="1" applyFont="1" applyBorder="1" applyAlignment="1">
      <alignment horizontal="left" indent="7"/>
    </xf>
    <xf numFmtId="1" fontId="6" fillId="0" borderId="56" xfId="0" applyNumberFormat="1" applyFont="1" applyBorder="1" applyAlignment="1">
      <alignment horizontal="right"/>
    </xf>
    <xf numFmtId="2" fontId="9" fillId="0" borderId="49" xfId="0" applyNumberFormat="1" applyFont="1" applyBorder="1"/>
    <xf numFmtId="0" fontId="11" fillId="4" borderId="134" xfId="0" applyFont="1" applyFill="1" applyBorder="1"/>
    <xf numFmtId="0" fontId="11" fillId="4" borderId="135" xfId="0" applyFont="1" applyFill="1" applyBorder="1" applyAlignment="1">
      <alignment horizontal="center" vertical="center"/>
    </xf>
    <xf numFmtId="0" fontId="11" fillId="0" borderId="136" xfId="0" applyFont="1" applyBorder="1"/>
    <xf numFmtId="0" fontId="11" fillId="6" borderId="136" xfId="0" applyFont="1" applyFill="1" applyBorder="1"/>
    <xf numFmtId="1" fontId="11" fillId="0" borderId="141" xfId="0" applyNumberFormat="1" applyFont="1" applyBorder="1" applyAlignment="1">
      <alignment horizontal="center"/>
    </xf>
    <xf numFmtId="1" fontId="32" fillId="6" borderId="141" xfId="0" applyNumberFormat="1" applyFont="1" applyFill="1" applyBorder="1" applyAlignment="1">
      <alignment horizontal="center"/>
    </xf>
    <xf numFmtId="9" fontId="11" fillId="6" borderId="142" xfId="1" applyFont="1" applyFill="1" applyBorder="1" applyAlignment="1">
      <alignment horizontal="center"/>
    </xf>
    <xf numFmtId="0" fontId="11" fillId="4" borderId="135" xfId="0" applyFont="1" applyFill="1" applyBorder="1" applyAlignment="1">
      <alignment horizontal="center" vertical="center" wrapText="1"/>
    </xf>
    <xf numFmtId="0" fontId="11" fillId="4" borderId="138" xfId="0" applyFont="1" applyFill="1" applyBorder="1" applyAlignment="1">
      <alignment horizontal="center" vertical="center" wrapText="1"/>
    </xf>
    <xf numFmtId="1" fontId="11" fillId="0" borderId="7" xfId="0" applyNumberFormat="1" applyFont="1" applyBorder="1" applyAlignment="1">
      <alignment horizontal="center"/>
    </xf>
    <xf numFmtId="1" fontId="11" fillId="0" borderId="49" xfId="0" applyNumberFormat="1" applyFont="1" applyBorder="1" applyAlignment="1">
      <alignment horizontal="center"/>
    </xf>
    <xf numFmtId="1" fontId="32" fillId="6" borderId="7" xfId="0" applyNumberFormat="1" applyFont="1" applyFill="1" applyBorder="1" applyAlignment="1">
      <alignment horizontal="center"/>
    </xf>
    <xf numFmtId="1" fontId="32" fillId="6" borderId="49" xfId="0" applyNumberFormat="1" applyFont="1" applyFill="1" applyBorder="1" applyAlignment="1">
      <alignment horizontal="center"/>
    </xf>
    <xf numFmtId="9" fontId="11" fillId="6" borderId="137" xfId="1" applyFont="1" applyFill="1" applyBorder="1" applyAlignment="1">
      <alignment horizontal="center"/>
    </xf>
    <xf numFmtId="9" fontId="11" fillId="6" borderId="139" xfId="1" applyFont="1" applyFill="1" applyBorder="1" applyAlignment="1">
      <alignment horizontal="center"/>
    </xf>
    <xf numFmtId="0" fontId="6" fillId="16" borderId="53" xfId="0" applyFont="1" applyFill="1" applyBorder="1" applyAlignment="1">
      <alignment horizontal="center" vertical="center" wrapText="1"/>
    </xf>
    <xf numFmtId="1" fontId="6" fillId="0" borderId="22" xfId="0" applyNumberFormat="1" applyFont="1" applyBorder="1" applyAlignment="1">
      <alignment horizontal="center"/>
    </xf>
    <xf numFmtId="1" fontId="6" fillId="0" borderId="141" xfId="0" applyNumberFormat="1" applyFont="1" applyBorder="1" applyAlignment="1">
      <alignment horizontal="center"/>
    </xf>
    <xf numFmtId="1" fontId="6" fillId="0" borderId="127" xfId="0" applyNumberFormat="1" applyFont="1" applyBorder="1" applyAlignment="1">
      <alignment horizontal="center"/>
    </xf>
    <xf numFmtId="9" fontId="6" fillId="6" borderId="69" xfId="1" applyFont="1" applyFill="1" applyBorder="1" applyAlignment="1">
      <alignment horizontal="center"/>
    </xf>
    <xf numFmtId="9" fontId="6" fillId="6" borderId="142" xfId="1" applyFont="1" applyFill="1" applyBorder="1" applyAlignment="1">
      <alignment horizontal="center"/>
    </xf>
    <xf numFmtId="0" fontId="14" fillId="4" borderId="140" xfId="0" applyFont="1" applyFill="1" applyBorder="1" applyAlignment="1">
      <alignment horizontal="center" vertical="center"/>
    </xf>
    <xf numFmtId="9" fontId="0" fillId="0" borderId="0" xfId="0" applyNumberFormat="1"/>
    <xf numFmtId="0" fontId="33" fillId="0" borderId="149" xfId="0" applyFont="1" applyBorder="1"/>
    <xf numFmtId="169" fontId="27" fillId="0" borderId="150" xfId="4" applyNumberFormat="1" applyFont="1" applyFill="1" applyBorder="1"/>
    <xf numFmtId="9" fontId="27" fillId="0" borderId="150" xfId="0" applyNumberFormat="1" applyFont="1" applyBorder="1"/>
    <xf numFmtId="169" fontId="0" fillId="0" borderId="151" xfId="0" applyNumberFormat="1" applyBorder="1"/>
    <xf numFmtId="0" fontId="33" fillId="6" borderId="144" xfId="0" applyFont="1" applyFill="1" applyBorder="1"/>
    <xf numFmtId="169" fontId="27" fillId="6" borderId="145" xfId="4" applyNumberFormat="1" applyFont="1" applyFill="1" applyBorder="1"/>
    <xf numFmtId="9" fontId="27" fillId="6" borderId="145" xfId="0" applyNumberFormat="1" applyFont="1" applyFill="1" applyBorder="1"/>
    <xf numFmtId="169" fontId="0" fillId="6" borderId="146" xfId="0" applyNumberFormat="1" applyFill="1" applyBorder="1"/>
    <xf numFmtId="0" fontId="33" fillId="6" borderId="147" xfId="0" applyFont="1" applyFill="1" applyBorder="1"/>
    <xf numFmtId="169" fontId="27" fillId="6" borderId="143" xfId="4" applyNumberFormat="1" applyFont="1" applyFill="1" applyBorder="1"/>
    <xf numFmtId="9" fontId="27" fillId="6" borderId="143" xfId="0" applyNumberFormat="1" applyFont="1" applyFill="1" applyBorder="1"/>
    <xf numFmtId="169" fontId="0" fillId="6" borderId="148" xfId="0" applyNumberFormat="1" applyFill="1" applyBorder="1"/>
    <xf numFmtId="10" fontId="0" fillId="0" borderId="85" xfId="1" applyNumberFormat="1" applyFont="1" applyFill="1" applyBorder="1"/>
    <xf numFmtId="10" fontId="0" fillId="0" borderId="152" xfId="1" applyNumberFormat="1" applyFont="1" applyFill="1" applyBorder="1"/>
    <xf numFmtId="0" fontId="0" fillId="4" borderId="81" xfId="0" applyFill="1" applyBorder="1"/>
    <xf numFmtId="0" fontId="0" fillId="4" borderId="82" xfId="0" applyFill="1" applyBorder="1"/>
    <xf numFmtId="10" fontId="16" fillId="18" borderId="153" xfId="0" applyNumberFormat="1" applyFont="1" applyFill="1" applyBorder="1"/>
    <xf numFmtId="9" fontId="16" fillId="11" borderId="71" xfId="0" applyNumberFormat="1" applyFont="1" applyFill="1" applyBorder="1"/>
    <xf numFmtId="9" fontId="6" fillId="6" borderId="128" xfId="1" applyFont="1" applyFill="1" applyBorder="1" applyAlignment="1">
      <alignment horizontal="center"/>
    </xf>
    <xf numFmtId="9" fontId="8" fillId="14" borderId="49" xfId="1" applyFont="1" applyFill="1" applyBorder="1" applyAlignment="1">
      <alignment horizontal="right"/>
    </xf>
    <xf numFmtId="9" fontId="8" fillId="14" borderId="49" xfId="0" applyNumberFormat="1" applyFont="1" applyFill="1" applyBorder="1" applyAlignment="1">
      <alignment horizontal="right"/>
    </xf>
    <xf numFmtId="165" fontId="8" fillId="14" borderId="49" xfId="0" applyNumberFormat="1" applyFont="1" applyFill="1" applyBorder="1"/>
    <xf numFmtId="0" fontId="0" fillId="13" borderId="1" xfId="0" applyFill="1" applyBorder="1" applyAlignment="1">
      <alignment horizontal="center"/>
    </xf>
    <xf numFmtId="0" fontId="0" fillId="0" borderId="154" xfId="0" applyBorder="1" applyAlignment="1">
      <alignment horizontal="center" vertical="center"/>
    </xf>
    <xf numFmtId="0" fontId="4" fillId="0" borderId="122" xfId="3" applyBorder="1"/>
    <xf numFmtId="0" fontId="2" fillId="0" borderId="155" xfId="2" applyBorder="1"/>
    <xf numFmtId="0" fontId="2" fillId="0" borderId="2" xfId="2" applyBorder="1" applyAlignment="1">
      <alignment horizontal="left" vertical="center" readingOrder="1"/>
    </xf>
    <xf numFmtId="0" fontId="2" fillId="0" borderId="2" xfId="2" applyBorder="1"/>
    <xf numFmtId="1" fontId="34" fillId="0" borderId="56" xfId="0" applyNumberFormat="1" applyFont="1" applyBorder="1"/>
    <xf numFmtId="0" fontId="24" fillId="4" borderId="140" xfId="0" applyFont="1" applyFill="1" applyBorder="1" applyAlignment="1">
      <alignment horizontal="center" vertical="center"/>
    </xf>
    <xf numFmtId="0" fontId="2" fillId="0" borderId="0" xfId="2" applyAlignment="1">
      <alignment readingOrder="1"/>
    </xf>
    <xf numFmtId="0" fontId="2" fillId="0" borderId="0" xfId="2"/>
    <xf numFmtId="1" fontId="34" fillId="0" borderId="22" xfId="0" applyNumberFormat="1" applyFont="1" applyBorder="1" applyAlignment="1">
      <alignment horizontal="center"/>
    </xf>
    <xf numFmtId="0" fontId="6" fillId="12" borderId="0" xfId="0" applyFont="1" applyFill="1"/>
    <xf numFmtId="0" fontId="6" fillId="13" borderId="0" xfId="0" applyFont="1" applyFill="1"/>
    <xf numFmtId="0" fontId="11" fillId="12" borderId="136" xfId="0" applyFont="1" applyFill="1" applyBorder="1"/>
    <xf numFmtId="1" fontId="11" fillId="12" borderId="7" xfId="0" applyNumberFormat="1" applyFont="1" applyFill="1" applyBorder="1" applyAlignment="1">
      <alignment horizontal="center"/>
    </xf>
    <xf numFmtId="1" fontId="11" fillId="12" borderId="49" xfId="0" applyNumberFormat="1" applyFont="1" applyFill="1" applyBorder="1" applyAlignment="1">
      <alignment horizontal="center"/>
    </xf>
    <xf numFmtId="1" fontId="11" fillId="12" borderId="141" xfId="0" applyNumberFormat="1" applyFont="1" applyFill="1" applyBorder="1" applyAlignment="1">
      <alignment horizontal="center"/>
    </xf>
    <xf numFmtId="0" fontId="5" fillId="13" borderId="1" xfId="2" applyFont="1" applyFill="1" applyBorder="1" applyAlignment="1">
      <alignment horizontal="center" vertical="center"/>
    </xf>
    <xf numFmtId="0" fontId="4" fillId="0" borderId="0" xfId="3"/>
    <xf numFmtId="1" fontId="34" fillId="0" borderId="0" xfId="0" applyNumberFormat="1" applyFont="1"/>
    <xf numFmtId="1" fontId="6" fillId="14" borderId="127" xfId="0" applyNumberFormat="1" applyFont="1" applyFill="1" applyBorder="1" applyAlignment="1">
      <alignment horizontal="center"/>
    </xf>
    <xf numFmtId="170" fontId="6" fillId="14" borderId="49" xfId="4" applyNumberFormat="1" applyFont="1" applyFill="1" applyBorder="1" applyAlignment="1">
      <alignment horizontal="right"/>
    </xf>
    <xf numFmtId="170" fontId="6" fillId="13" borderId="49" xfId="4" applyNumberFormat="1" applyFont="1" applyFill="1" applyBorder="1" applyAlignment="1">
      <alignment horizontal="right"/>
    </xf>
    <xf numFmtId="170" fontId="6" fillId="14" borderId="49" xfId="4" applyNumberFormat="1" applyFont="1" applyFill="1" applyBorder="1"/>
    <xf numFmtId="170" fontId="6" fillId="13" borderId="49" xfId="4" applyNumberFormat="1" applyFont="1" applyFill="1" applyBorder="1"/>
    <xf numFmtId="170" fontId="6" fillId="6" borderId="49" xfId="4" applyNumberFormat="1" applyFont="1" applyFill="1" applyBorder="1" applyAlignment="1">
      <alignment horizontal="right"/>
    </xf>
    <xf numFmtId="170" fontId="6" fillId="6" borderId="8" xfId="4" applyNumberFormat="1" applyFont="1" applyFill="1" applyBorder="1" applyAlignment="1">
      <alignment horizontal="right"/>
    </xf>
    <xf numFmtId="170" fontId="7" fillId="5" borderId="49" xfId="4" applyNumberFormat="1" applyFont="1" applyFill="1" applyBorder="1" applyAlignment="1">
      <alignment horizontal="right"/>
    </xf>
    <xf numFmtId="170" fontId="6" fillId="6" borderId="49" xfId="4" applyNumberFormat="1" applyFont="1" applyFill="1" applyBorder="1"/>
    <xf numFmtId="170" fontId="6" fillId="6" borderId="8" xfId="4" applyNumberFormat="1" applyFont="1" applyFill="1" applyBorder="1"/>
    <xf numFmtId="170" fontId="7" fillId="5" borderId="49" xfId="4" applyNumberFormat="1" applyFont="1" applyFill="1" applyBorder="1"/>
    <xf numFmtId="1" fontId="6" fillId="14" borderId="22" xfId="0" applyNumberFormat="1" applyFont="1" applyFill="1" applyBorder="1" applyAlignment="1">
      <alignment horizontal="center"/>
    </xf>
    <xf numFmtId="0" fontId="4" fillId="0" borderId="2" xfId="3" applyBorder="1" applyAlignment="1">
      <alignment readingOrder="1"/>
    </xf>
    <xf numFmtId="165" fontId="6" fillId="0" borderId="0" xfId="0" applyNumberFormat="1" applyFont="1"/>
    <xf numFmtId="171" fontId="6" fillId="0" borderId="0" xfId="0" applyNumberFormat="1" applyFont="1"/>
    <xf numFmtId="0" fontId="35" fillId="8" borderId="0" xfId="0" applyFont="1" applyFill="1" applyAlignment="1">
      <alignment vertical="center"/>
    </xf>
    <xf numFmtId="0" fontId="0" fillId="0" borderId="2" xfId="0" applyBorder="1" applyAlignment="1">
      <alignment horizontal="left" vertical="center" wrapText="1"/>
    </xf>
    <xf numFmtId="0" fontId="0" fillId="13" borderId="2" xfId="0" applyFill="1" applyBorder="1" applyAlignment="1">
      <alignment horizontal="left" vertical="center" wrapText="1"/>
    </xf>
    <xf numFmtId="0" fontId="0" fillId="0" borderId="2" xfId="0" applyBorder="1" applyAlignment="1">
      <alignment vertical="center" wrapText="1"/>
    </xf>
    <xf numFmtId="0" fontId="0" fillId="4" borderId="1" xfId="0" applyFill="1" applyBorder="1" applyAlignment="1">
      <alignment horizontal="center" vertical="center"/>
    </xf>
    <xf numFmtId="0" fontId="22" fillId="0" borderId="2" xfId="0" applyFont="1" applyBorder="1" applyAlignment="1">
      <alignment vertical="center" wrapText="1"/>
    </xf>
    <xf numFmtId="0" fontId="30" fillId="0" borderId="2" xfId="0" applyFont="1" applyBorder="1" applyAlignment="1">
      <alignment vertical="center" wrapText="1"/>
    </xf>
    <xf numFmtId="170" fontId="6" fillId="0" borderId="49" xfId="4" applyNumberFormat="1" applyFont="1" applyBorder="1"/>
    <xf numFmtId="170" fontId="6" fillId="0" borderId="56" xfId="4" applyNumberFormat="1" applyFont="1" applyBorder="1"/>
    <xf numFmtId="170" fontId="6" fillId="13" borderId="56" xfId="4" applyNumberFormat="1" applyFont="1" applyFill="1" applyBorder="1"/>
    <xf numFmtId="170" fontId="34" fillId="0" borderId="49" xfId="4" applyNumberFormat="1" applyFont="1" applyBorder="1"/>
    <xf numFmtId="0" fontId="24" fillId="6" borderId="68" xfId="0" applyFont="1" applyFill="1" applyBorder="1"/>
    <xf numFmtId="1" fontId="7" fillId="6" borderId="22" xfId="0" applyNumberFormat="1" applyFont="1" applyFill="1" applyBorder="1" applyAlignment="1">
      <alignment horizontal="center"/>
    </xf>
    <xf numFmtId="1" fontId="7" fillId="6" borderId="127" xfId="0" applyNumberFormat="1" applyFont="1" applyFill="1" applyBorder="1" applyAlignment="1">
      <alignment horizontal="center"/>
    </xf>
    <xf numFmtId="10" fontId="11" fillId="4" borderId="129" xfId="0" applyNumberFormat="1" applyFont="1" applyFill="1" applyBorder="1" applyAlignment="1">
      <alignment horizontal="right"/>
    </xf>
    <xf numFmtId="10" fontId="11" fillId="4" borderId="130" xfId="0" applyNumberFormat="1" applyFont="1" applyFill="1" applyBorder="1" applyAlignment="1">
      <alignment horizontal="right"/>
    </xf>
    <xf numFmtId="10" fontId="11" fillId="4" borderId="131" xfId="0" applyNumberFormat="1" applyFont="1" applyFill="1" applyBorder="1" applyAlignment="1">
      <alignment horizontal="right"/>
    </xf>
    <xf numFmtId="10" fontId="24" fillId="0" borderId="133" xfId="0" applyNumberFormat="1" applyFont="1" applyFill="1" applyBorder="1"/>
    <xf numFmtId="165" fontId="24" fillId="0" borderId="132" xfId="0" applyNumberFormat="1" applyFont="1" applyFill="1" applyBorder="1"/>
    <xf numFmtId="165" fontId="24" fillId="0" borderId="93" xfId="0" applyNumberFormat="1" applyFont="1" applyFill="1" applyBorder="1"/>
    <xf numFmtId="10" fontId="11" fillId="4" borderId="5" xfId="0" applyNumberFormat="1" applyFont="1" applyFill="1" applyBorder="1" applyAlignment="1">
      <alignment horizontal="right"/>
    </xf>
    <xf numFmtId="10" fontId="24" fillId="0" borderId="6" xfId="0" applyNumberFormat="1" applyFont="1" applyBorder="1"/>
    <xf numFmtId="0" fontId="17" fillId="0" borderId="37" xfId="0" applyFont="1" applyBorder="1" applyAlignment="1">
      <alignment horizontal="center" wrapText="1"/>
    </xf>
    <xf numFmtId="0" fontId="17" fillId="0" borderId="38" xfId="0" applyFont="1" applyBorder="1" applyAlignment="1">
      <alignment horizontal="center" wrapText="1"/>
    </xf>
    <xf numFmtId="0" fontId="18" fillId="14" borderId="39" xfId="0" applyFont="1" applyFill="1" applyBorder="1" applyAlignment="1">
      <alignment horizontal="center" wrapText="1"/>
    </xf>
    <xf numFmtId="0" fontId="18" fillId="14" borderId="40" xfId="0" applyFont="1" applyFill="1" applyBorder="1" applyAlignment="1">
      <alignment horizontal="center" wrapText="1"/>
    </xf>
    <xf numFmtId="0" fontId="18" fillId="0" borderId="125" xfId="0" applyFont="1" applyBorder="1" applyAlignment="1">
      <alignment horizontal="center" wrapText="1"/>
    </xf>
    <xf numFmtId="0" fontId="18" fillId="0" borderId="126" xfId="0" applyFont="1" applyBorder="1" applyAlignment="1">
      <alignment horizontal="center" wrapText="1"/>
    </xf>
    <xf numFmtId="0" fontId="18" fillId="0" borderId="39" xfId="0" applyFont="1" applyBorder="1" applyAlignment="1">
      <alignment horizontal="center" wrapText="1"/>
    </xf>
    <xf numFmtId="0" fontId="18" fillId="0" borderId="40" xfId="0" applyFont="1" applyBorder="1" applyAlignment="1">
      <alignment horizontal="center" wrapText="1"/>
    </xf>
    <xf numFmtId="0" fontId="0" fillId="0" borderId="90" xfId="0" applyBorder="1" applyAlignment="1">
      <alignment horizontal="left" vertical="center" wrapText="1"/>
    </xf>
    <xf numFmtId="0" fontId="0" fillId="0" borderId="0" xfId="0" applyAlignment="1">
      <alignment horizontal="left" vertical="center" wrapText="1"/>
    </xf>
    <xf numFmtId="0" fontId="0" fillId="4" borderId="90" xfId="0" applyFill="1" applyBorder="1" applyAlignment="1">
      <alignment horizontal="left"/>
    </xf>
    <xf numFmtId="0" fontId="0" fillId="4" borderId="0" xfId="0" applyFill="1" applyAlignment="1">
      <alignment horizontal="left"/>
    </xf>
    <xf numFmtId="0" fontId="0" fillId="0" borderId="156" xfId="0" applyBorder="1" applyAlignment="1">
      <alignment horizontal="center" vertical="center" wrapText="1"/>
    </xf>
    <xf numFmtId="0" fontId="0" fillId="0" borderId="157" xfId="0" applyBorder="1" applyAlignment="1">
      <alignment horizontal="center" vertical="center" wrapText="1"/>
    </xf>
  </cellXfs>
  <cellStyles count="5">
    <cellStyle name="Hyperlink" xfId="3" xr:uid="{81B937F8-D08D-DE4A-A1FC-D89EE17750B3}"/>
    <cellStyle name="Lien hypertexte" xfId="2" builtinId="8"/>
    <cellStyle name="Milliers" xfId="4" builtinId="3"/>
    <cellStyle name="Normal" xfId="0" builtinId="0"/>
    <cellStyle name="Pourcentage" xfId="1" builtinId="5"/>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https://fr.wikipedia.org/wiki/Ressources_et_consommation_%C3%A9nerg%C3%A9tiques_mondiales" TargetMode="External"/><Relationship Id="rId2" Type="http://schemas.openxmlformats.org/officeDocument/2006/relationships/hyperlink" Target="https://fr.wikipedia.org/wiki/Ressources_et_consommation_%C3%A9nerg%C3%A9tiques_mondiales" TargetMode="External"/><Relationship Id="rId1" Type="http://schemas.openxmlformats.org/officeDocument/2006/relationships/hyperlink" Target="https://www.msci.com/documents/10199/db217f4c-cc8c-4e21-9fac-60eb6a47faf0" TargetMode="External"/><Relationship Id="rId6" Type="http://schemas.openxmlformats.org/officeDocument/2006/relationships/printerSettings" Target="../printerSettings/printerSettings4.bin"/><Relationship Id="rId5" Type="http://schemas.openxmlformats.org/officeDocument/2006/relationships/hyperlink" Target="https://www.msci.com/documents/10199/67a768a1-71d0-4bd0-8d7e-f7b53e8d0d9f" TargetMode="External"/><Relationship Id="rId4" Type="http://schemas.openxmlformats.org/officeDocument/2006/relationships/hyperlink" Target="https://www.eureau.org/resources/publications/1460-eureau-data-report-2017-1/fil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3" Type="http://schemas.openxmlformats.org/officeDocument/2006/relationships/hyperlink" Target="https://www.credit-agricole.com/en/pdfPreview/180684" TargetMode="External"/><Relationship Id="rId18" Type="http://schemas.openxmlformats.org/officeDocument/2006/relationships/hyperlink" Target="https://www.unicreditgroup.eu/en/a-sustainable-bank/natural-capital/climate-change.html" TargetMode="External"/><Relationship Id="rId26" Type="http://schemas.openxmlformats.org/officeDocument/2006/relationships/hyperlink" Target="https://shareholdersandinvestors.bbva.com/wp-content/uploads/2020/03/AnnualReport2019BBVAGroup_Eng-1.pdf" TargetMode="External"/><Relationship Id="rId39" Type="http://schemas.openxmlformats.org/officeDocument/2006/relationships/hyperlink" Target="https://group.intesasanpaolo.com/content/dam/portalgroup/repository-documenti/investor-relations/bilanci-relazioni-en/2019/20200430_BILANCI_2019_Def_uk.pdf" TargetMode="External"/><Relationship Id="rId21" Type="http://schemas.openxmlformats.org/officeDocument/2006/relationships/hyperlink" Target="https://www.db.com/ir/en/download/Deutsche_Bank_Pillar_3_Report_2019.pdf" TargetMode="External"/><Relationship Id="rId34" Type="http://schemas.openxmlformats.org/officeDocument/2006/relationships/hyperlink" Target="https://labrador.cld.bz/BPCE-2019URD/10/" TargetMode="External"/><Relationship Id="rId42" Type="http://schemas.openxmlformats.org/officeDocument/2006/relationships/hyperlink" Target="https://labrador.cld.bz/BPCE-2019URD/10/" TargetMode="External"/><Relationship Id="rId47" Type="http://schemas.openxmlformats.org/officeDocument/2006/relationships/hyperlink" Target="https://shareholdersandinvestors.bbva.com/wp-content/uploads/2020/03/AnnualReport2019BBVAGroup_Eng-1.pdf" TargetMode="External"/><Relationship Id="rId7" Type="http://schemas.openxmlformats.org/officeDocument/2006/relationships/hyperlink" Target="https://www.db.com/ir/en/download/Deutsche_Bank_Pillar_3_Report_2019.pdf" TargetMode="External"/><Relationship Id="rId2" Type="http://schemas.openxmlformats.org/officeDocument/2006/relationships/hyperlink" Target="https://www.santander.com/content/dam/santander-com/en/documentos/otra-informacion-relevante/2020/02/hr-2020-02-29-2019-pillar-3-disclosures-report-en.pdf" TargetMode="External"/><Relationship Id="rId16" Type="http://schemas.openxmlformats.org/officeDocument/2006/relationships/hyperlink" Target="https://www.commerzbank.de/media/en/aktionaere/service/archive/konzern/2019_1/2019_Offenlegungsbericht_final_de.pdf" TargetMode="External"/><Relationship Id="rId29" Type="http://schemas.openxmlformats.org/officeDocument/2006/relationships/hyperlink" Target="https://invest.bnpparibas.com/sites/default/files/documents/bnp_paribas_2019_urd_fr_0.pdf" TargetMode="External"/><Relationship Id="rId1" Type="http://schemas.openxmlformats.org/officeDocument/2006/relationships/hyperlink" Target="https://www.ing.com/Sustainability/Our-Stance/Transparency.htm" TargetMode="External"/><Relationship Id="rId6" Type="http://schemas.openxmlformats.org/officeDocument/2006/relationships/hyperlink" Target="https://www.ran.org/bcc-2020-data-explorer/" TargetMode="External"/><Relationship Id="rId11" Type="http://schemas.openxmlformats.org/officeDocument/2006/relationships/hyperlink" Target="https://www.ing.com/web/file?uuid=233b1556-54d9-4fb7-9385-c1a4e3f083f1&amp;owner=b03bc017-e0db-4b5d-abbf-003b12934429&amp;contentid=49335" TargetMode="External"/><Relationship Id="rId24" Type="http://schemas.openxmlformats.org/officeDocument/2006/relationships/hyperlink" Target="\home\chronos\u-f01bd6ac209c972eae0ca99b540a98b553e5ef51\MyFiles\Downloads\Actifs%20bruns\CASA_URD2019_FR_MEL.pdf" TargetMode="External"/><Relationship Id="rId32" Type="http://schemas.openxmlformats.org/officeDocument/2006/relationships/hyperlink" Target="https://invest.bnpparibas.com/sites/default/files/documents/bnp_paribas_2019_urd_fr_0.pdf" TargetMode="External"/><Relationship Id="rId37" Type="http://schemas.openxmlformats.org/officeDocument/2006/relationships/hyperlink" Target="https://www.santander.com/content/dam/santander-com/en/documentos/otra-informacion-relevante/2020/02/hr-2020-02-29-2019-pillar-3-disclosures-report-en.pdf" TargetMode="External"/><Relationship Id="rId40" Type="http://schemas.openxmlformats.org/officeDocument/2006/relationships/hyperlink" Target="https://invest.bnpparibas.com/sites/default/files/documents/bnp_paribas_2019_urd_fr_0.pdf" TargetMode="External"/><Relationship Id="rId45" Type="http://schemas.openxmlformats.org/officeDocument/2006/relationships/hyperlink" Target="https://www.unicreditgroup.eu/content/dam/unicreditgroup-eu/documents/en/investors/financial-reports/2019/4Q19/2019-Annual-Report-and-Accounts.pdf" TargetMode="External"/><Relationship Id="rId5" Type="http://schemas.openxmlformats.org/officeDocument/2006/relationships/hyperlink" Target="https://www.santander.com/content/dam/santander-com/en/documentos/informe-anual/2019/ia-2019-annual-report-en.pdf" TargetMode="External"/><Relationship Id="rId15" Type="http://schemas.openxmlformats.org/officeDocument/2006/relationships/hyperlink" Target="https://credit-agricole.publispeak.com/rapport-integre-2019/CA-RI-2019-FR_01.pdf" TargetMode="External"/><Relationship Id="rId23" Type="http://schemas.openxmlformats.org/officeDocument/2006/relationships/hyperlink" Target="https://www.commerzbank.com/media/aktionaere/service/archive/konzern/2020_4/Geschaeftsbericht_2019_Konzern_EN.pdf" TargetMode="External"/><Relationship Id="rId28" Type="http://schemas.openxmlformats.org/officeDocument/2006/relationships/hyperlink" Target="https://www.bbva.com/en/tr/garanti-bbva-securities-facilitates-major-deal-in-turkish-wind-energy-market/" TargetMode="External"/><Relationship Id="rId36" Type="http://schemas.openxmlformats.org/officeDocument/2006/relationships/hyperlink" Target="https://groupebpce.com/investisseurs/resultats-et-publications/presentation-des-resultats" TargetMode="External"/><Relationship Id="rId10" Type="http://schemas.openxmlformats.org/officeDocument/2006/relationships/hyperlink" Target="https://www.ing.com/web/file?uuid=233b1556-54d9-4fb7-9385-c1a4e3f083f1&amp;owner=b03bc017-e0db-4b5d-abbf-003b12934429&amp;contentid=49335" TargetMode="External"/><Relationship Id="rId19" Type="http://schemas.openxmlformats.org/officeDocument/2006/relationships/hyperlink" Target="https://group.intesasanpaolo.com/content/dam/portalgroup/repository-documenti/investor-relations/Contenuti/RISORSE/Documenti%20PDF/en_governance/20200416_Pillar3_uk.pdf" TargetMode="External"/><Relationship Id="rId31" Type="http://schemas.openxmlformats.org/officeDocument/2006/relationships/hyperlink" Target="https://invest.bnpparibas.com/sites/default/files/documents/bnp_paribas_2019_urd_fr_0.pdf" TargetMode="External"/><Relationship Id="rId44" Type="http://schemas.openxmlformats.org/officeDocument/2006/relationships/hyperlink" Target="https://www.commerzbank.com/media/aktionaere/service/archive/konzern/2020_4/Geschaeftsbericht_2019_Konzern_EN.pdf" TargetMode="External"/><Relationship Id="rId4" Type="http://schemas.openxmlformats.org/officeDocument/2006/relationships/hyperlink" Target="https://www.ing.com/web/file?uuid=233b1556-54d9-4fb7-9385-c1a4e3f083f1&amp;owner=b03bc017-e0db-4b5d-abbf-003b12934429&amp;contentid=49335" TargetMode="External"/><Relationship Id="rId9" Type="http://schemas.openxmlformats.org/officeDocument/2006/relationships/hyperlink" Target="https://www.santander.com/content/dam/santander-com/en/documentos/informe-anual/2019/ia-2019-annual-report-en.pdf" TargetMode="External"/><Relationship Id="rId14" Type="http://schemas.openxmlformats.org/officeDocument/2006/relationships/hyperlink" Target="https://www.credit-agricole.com/en/pdfPreview/180684" TargetMode="External"/><Relationship Id="rId22" Type="http://schemas.openxmlformats.org/officeDocument/2006/relationships/hyperlink" Target="https://www.db.com/ir/en/download/Deutsche_Bank_Annual_Report_2019.pdf" TargetMode="External"/><Relationship Id="rId27" Type="http://schemas.openxmlformats.org/officeDocument/2006/relationships/hyperlink" Target="https://shareholdersandinvestors.bbva.com/wp-content/uploads/2020/03/AnnualReport2019BBVAGroup_Eng-1.pdf" TargetMode="External"/><Relationship Id="rId30" Type="http://schemas.openxmlformats.org/officeDocument/2006/relationships/hyperlink" Target="https://invest.bnpparibas.com/sites/default/files/documents/bnp_paribas_2019_urd_fr_0.pdf" TargetMode="External"/><Relationship Id="rId35" Type="http://schemas.openxmlformats.org/officeDocument/2006/relationships/hyperlink" Target="https://labrador.cld.bz/BPCE-Rapport-sur-les-risques-Pilier-III-2019/II/" TargetMode="External"/><Relationship Id="rId43" Type="http://schemas.openxmlformats.org/officeDocument/2006/relationships/hyperlink" Target="https://www.db.com/ir/en/download/Deutsche_Bank_Annual_Report_2019.pdf" TargetMode="External"/><Relationship Id="rId48" Type="http://schemas.openxmlformats.org/officeDocument/2006/relationships/hyperlink" Target="https://www.ing.com/web/file?uuid=233b1556-54d9-4fb7-9385-c1a4e3f083f1&amp;owner=b03bc017-e0db-4b5d-abbf-003b12934429&amp;contentid=49335" TargetMode="External"/><Relationship Id="rId8" Type="http://schemas.openxmlformats.org/officeDocument/2006/relationships/hyperlink" Target="https://www.santander.com/content/dam/santander-com/en/documentos/informe-anual/2019/ia-2019-annual-report-en.pdf" TargetMode="External"/><Relationship Id="rId3" Type="http://schemas.openxmlformats.org/officeDocument/2006/relationships/hyperlink" Target="https://www.ing.com.au/assets/pdf/Pillar3_Dec2019.pdf" TargetMode="External"/><Relationship Id="rId12" Type="http://schemas.openxmlformats.org/officeDocument/2006/relationships/hyperlink" Target="https://www.credit-agricole.com/en/pdfPreview/180684" TargetMode="External"/><Relationship Id="rId17" Type="http://schemas.openxmlformats.org/officeDocument/2006/relationships/hyperlink" Target="https://group.intesasanpaolo.com/content/dam/portalgroup/repository-documenti/investor-relations/Contenuti/RISORSE/Documenti%20PDF/en_governance/20200416_Pillar3_uk.pdf" TargetMode="External"/><Relationship Id="rId25" Type="http://schemas.openxmlformats.org/officeDocument/2006/relationships/hyperlink" Target="https://accionistaseinversores.bbva.com/microsites/pilarIII2019/en/bank-risk-profile/index.html" TargetMode="External"/><Relationship Id="rId33" Type="http://schemas.openxmlformats.org/officeDocument/2006/relationships/hyperlink" Target="https://rapport-integre.bnpparibas/2019/assets/pdf/BNPParibas-RI19-FR.pdf" TargetMode="External"/><Relationship Id="rId38" Type="http://schemas.openxmlformats.org/officeDocument/2006/relationships/hyperlink" Target="https://www.commerzbank.com/media/aktionaere/service/archive/konzern/2020_4/Geschaeftsbericht_2019_Konzern_EN.pdf" TargetMode="External"/><Relationship Id="rId46" Type="http://schemas.openxmlformats.org/officeDocument/2006/relationships/hyperlink" Target="https://www.santander.com/content/dam/santander-com/en/documentos/informe-anual/2019/ia-2019-annual-report-en.pdf" TargetMode="External"/><Relationship Id="rId20" Type="http://schemas.openxmlformats.org/officeDocument/2006/relationships/hyperlink" Target="https://www.db.com/ir/en/download/Deutsche_Bank_Annual_Report_2019.pdf" TargetMode="External"/><Relationship Id="rId41" Type="http://schemas.openxmlformats.org/officeDocument/2006/relationships/hyperlink" Target="https://www.credit-agricole.com/en/pdfPreview/180684"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home.barclays/content/dam/home-barclays/documents/investor-relations/reports-and-events/annual-reports/2019/Barclays%20PLC%20Annual%20Report%202019.pdf" TargetMode="External"/><Relationship Id="rId13" Type="http://schemas.openxmlformats.org/officeDocument/2006/relationships/hyperlink" Target="https://www.annualreports.com/HostedData/AnnualReports/PDF/NYSE_BAC_2019.pdf" TargetMode="External"/><Relationship Id="rId18" Type="http://schemas.openxmlformats.org/officeDocument/2006/relationships/hyperlink" Target="http://v.icbc.com.cn/userfiles/Resources/ICBC/haiwai/ICBCLondon/download/2019/2018Pillar3disclosure.pdf" TargetMode="External"/><Relationship Id="rId26" Type="http://schemas.openxmlformats.org/officeDocument/2006/relationships/hyperlink" Target="https://v.icbc.com.cn/userfiles/Resources/ICBCLTD/download/2020/2019AnnualReport.pdf" TargetMode="External"/><Relationship Id="rId3" Type="http://schemas.openxmlformats.org/officeDocument/2006/relationships/hyperlink" Target="https://www.mufg.jp/dam/ir/report/annual_report/pdf/baseliii20_en.pdf" TargetMode="External"/><Relationship Id="rId21" Type="http://schemas.openxmlformats.org/officeDocument/2006/relationships/hyperlink" Target="http://www.ccb.com/en/newinvestor/upload/20200428_1588066796/20200428214237304314.pdf" TargetMode="External"/><Relationship Id="rId7" Type="http://schemas.openxmlformats.org/officeDocument/2006/relationships/hyperlink" Target="https://home.barclays/content/dam/home-barclays/documents/investor-relations/reports-and-events/annual-reports/2019/Barclays%20PLC%20Annual%20Report%202019.pdf" TargetMode="External"/><Relationship Id="rId12" Type="http://schemas.openxmlformats.org/officeDocument/2006/relationships/hyperlink" Target="https://www08.wellsfargomedia.com/assets/pdf/about/investor-relations/annual-reports/2019-annual-report.pdf" TargetMode="External"/><Relationship Id="rId17" Type="http://schemas.openxmlformats.org/officeDocument/2006/relationships/hyperlink" Target="https://v.icbc.com.cn/userfiles/Resources/ICBCLTD/download/2020/2019AnnualReport.pdf" TargetMode="External"/><Relationship Id="rId25" Type="http://schemas.openxmlformats.org/officeDocument/2006/relationships/hyperlink" Target="http://www.ccb.com/en/newinvestor/upload/20200428_1588066796/20200428214237304314.pdf" TargetMode="External"/><Relationship Id="rId2" Type="http://schemas.openxmlformats.org/officeDocument/2006/relationships/hyperlink" Target="https://www.mufg.jp/dam/ir/report/annual_report/pdf/baseliii20_en.pdf" TargetMode="External"/><Relationship Id="rId16" Type="http://schemas.openxmlformats.org/officeDocument/2006/relationships/hyperlink" Target="https://www.credit-suisse.com/media/assets/corporate/docs/about-us/investor-relations/financial-disclosures/financial-reports/csg-ar-2019-en.pdf" TargetMode="External"/><Relationship Id="rId20" Type="http://schemas.openxmlformats.org/officeDocument/2006/relationships/hyperlink" Target="http://uk.ccb.com/london/uploadfile/gywm/20111123_1322031202/2016927104952688944.pdf" TargetMode="External"/><Relationship Id="rId29" Type="http://schemas.openxmlformats.org/officeDocument/2006/relationships/hyperlink" Target="http://www.abchina.com/en/investor-relations/Regulatorycapital/captialadequacy/202004/W020200401543997120911.pdf" TargetMode="External"/><Relationship Id="rId1" Type="http://schemas.openxmlformats.org/officeDocument/2006/relationships/hyperlink" Target="https://www.mufg.jp/dam/ir/report/annual_report/pdf/ir2020_all.pdf" TargetMode="External"/><Relationship Id="rId6" Type="http://schemas.openxmlformats.org/officeDocument/2006/relationships/hyperlink" Target="https://www.mufg.jp/dam/ir/report/annual_report/pdf/ir2020_all.pdf" TargetMode="External"/><Relationship Id="rId11" Type="http://schemas.openxmlformats.org/officeDocument/2006/relationships/hyperlink" Target="https://www.annualreports.com/Company/bank-of-america-corporation" TargetMode="External"/><Relationship Id="rId24" Type="http://schemas.openxmlformats.org/officeDocument/2006/relationships/hyperlink" Target="http://www.ccb.com/en/newinvestor/upload/20200428_1588066796/20200428214237304314.pdf" TargetMode="External"/><Relationship Id="rId5" Type="http://schemas.openxmlformats.org/officeDocument/2006/relationships/hyperlink" Target="https://www.ubs.com/content/dam/assets/cc/investor-relations/annual-report/2019/epaper/pillar-3/en/index.html" TargetMode="External"/><Relationship Id="rId15" Type="http://schemas.openxmlformats.org/officeDocument/2006/relationships/hyperlink" Target="https://pic.bankofchina.com/bocappd/uk/202009/P020200909535865685853.pdf" TargetMode="External"/><Relationship Id="rId23" Type="http://schemas.openxmlformats.org/officeDocument/2006/relationships/hyperlink" Target="https://v.icbc.com.cn/userfiles/Resources/ICBCLTD/download/2020/2019AnnualReport.pdf" TargetMode="External"/><Relationship Id="rId28" Type="http://schemas.openxmlformats.org/officeDocument/2006/relationships/hyperlink" Target="http://www.abchina.com/en/investor-relations/Regulatorycapital/captialadequacy/202004/W020200401543997120911.pdf" TargetMode="External"/><Relationship Id="rId10" Type="http://schemas.openxmlformats.org/officeDocument/2006/relationships/hyperlink" Target="https://www.ubs.com/content/dam/assets/cc/investor-relations/annual-report/2019/epaper/pillar-3/en/index.html" TargetMode="External"/><Relationship Id="rId19" Type="http://schemas.openxmlformats.org/officeDocument/2006/relationships/hyperlink" Target="http://v.icbc.com.cn/userfiles/Resources/ICBC/haiwai/ICBCLondon/download/2019/2018Pillar3disclosure.pdf" TargetMode="External"/><Relationship Id="rId4" Type="http://schemas.openxmlformats.org/officeDocument/2006/relationships/hyperlink" Target="https://www.mufg.jp/dam/ir/report/basel3/pdf/mufg1903_08_en.pdf" TargetMode="External"/><Relationship Id="rId9" Type="http://schemas.openxmlformats.org/officeDocument/2006/relationships/hyperlink" Target="https://home.barclays/content/dam/home-barclays/documents/investor-relations/reports-and-events/annual-reports/2019/Barclays%20PLC%20Annual%20Report%202019.pdf" TargetMode="External"/><Relationship Id="rId14" Type="http://schemas.openxmlformats.org/officeDocument/2006/relationships/hyperlink" Target="https://pic.bankofchina.com/bocappd/uk/202009/P020200909535865685853.pdf" TargetMode="External"/><Relationship Id="rId22" Type="http://schemas.openxmlformats.org/officeDocument/2006/relationships/hyperlink" Target="http://uk.ccb.com/london/uploadfile/gywm/20111123_1322031202/2016927104952688944.pdf" TargetMode="External"/><Relationship Id="rId27" Type="http://schemas.openxmlformats.org/officeDocument/2006/relationships/hyperlink" Target="https://pic.bankofchina.com/bocappd/report/202003/P020200327552610006350.pdf" TargetMode="External"/><Relationship Id="rId30" Type="http://schemas.openxmlformats.org/officeDocument/2006/relationships/hyperlink" Target="https://www.credit-suisse.com/media/assets/corporate/docs/about-us/investor-relations/financial-disclosures/financial-reports/csg-ar-2019-e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57BA9-F69B-2D49-9C51-1DB49479EFF5}">
  <dimension ref="A1:Q14"/>
  <sheetViews>
    <sheetView showGridLines="0" tabSelected="1" zoomScale="93" zoomScaleNormal="90" workbookViewId="0">
      <pane xSplit="1" topLeftCell="B1" activePane="topRight" state="frozen"/>
      <selection pane="topRight" sqref="A1:XFD1048576"/>
    </sheetView>
  </sheetViews>
  <sheetFormatPr baseColWidth="10" defaultColWidth="10.875" defaultRowHeight="15"/>
  <cols>
    <col min="1" max="1" width="25" style="20" customWidth="1"/>
    <col min="2" max="2" width="12" style="20" customWidth="1"/>
    <col min="3" max="4" width="11.375" style="20" customWidth="1"/>
    <col min="5" max="5" width="9" style="20" customWidth="1"/>
    <col min="6" max="6" width="15" style="20" bestFit="1" customWidth="1"/>
    <col min="7" max="7" width="14.5" style="20" bestFit="1" customWidth="1"/>
    <col min="8" max="8" width="11.5" style="20" customWidth="1"/>
    <col min="9" max="9" width="10.5" style="20" customWidth="1"/>
    <col min="10" max="10" width="12" style="20" customWidth="1"/>
    <col min="11" max="12" width="10" style="20" customWidth="1"/>
    <col min="13" max="13" width="11" style="20" customWidth="1"/>
    <col min="14" max="14" width="10.875" style="20"/>
    <col min="15" max="15" width="16.625" style="20" customWidth="1"/>
    <col min="16" max="16" width="12.125" style="20" bestFit="1" customWidth="1"/>
    <col min="17" max="16384" width="10.875" style="20"/>
  </cols>
  <sheetData>
    <row r="1" spans="1:17">
      <c r="B1" s="22"/>
      <c r="C1" s="23"/>
      <c r="D1" s="22"/>
      <c r="G1" s="22"/>
      <c r="K1" s="22"/>
      <c r="L1" s="22"/>
    </row>
    <row r="2" spans="1:17" ht="28.5">
      <c r="A2" s="340" t="s">
        <v>0</v>
      </c>
      <c r="B2" s="347" t="s">
        <v>1</v>
      </c>
      <c r="C2" s="347" t="s">
        <v>2</v>
      </c>
      <c r="D2" s="347" t="s">
        <v>3</v>
      </c>
      <c r="E2" s="341" t="s">
        <v>4</v>
      </c>
      <c r="F2" s="347" t="s">
        <v>5</v>
      </c>
      <c r="G2" s="341" t="s">
        <v>6</v>
      </c>
      <c r="H2" s="347" t="s">
        <v>7</v>
      </c>
      <c r="I2" s="341" t="s">
        <v>8</v>
      </c>
      <c r="J2" s="341" t="s">
        <v>9</v>
      </c>
      <c r="K2" s="341" t="s">
        <v>10</v>
      </c>
      <c r="L2" s="348" t="s">
        <v>11</v>
      </c>
      <c r="M2" s="361" t="s">
        <v>12</v>
      </c>
    </row>
    <row r="3" spans="1:17">
      <c r="A3" s="342" t="s">
        <v>13</v>
      </c>
      <c r="B3" s="349">
        <f>'€ Zone Details'!B3</f>
        <v>2164.71</v>
      </c>
      <c r="C3" s="349">
        <f>'€ Zone Details'!C3</f>
        <v>1596.4749999999999</v>
      </c>
      <c r="D3" s="349">
        <f>'€ Zone Details'!D3</f>
        <v>1356</v>
      </c>
      <c r="E3" s="349">
        <f>'€ Zone Details'!E3</f>
        <v>1338</v>
      </c>
      <c r="F3" s="349">
        <f>'€ Zone Details'!F3</f>
        <v>1297.67</v>
      </c>
      <c r="G3" s="349">
        <f>'€ Zone Details'!G3</f>
        <v>463.64</v>
      </c>
      <c r="H3" s="349">
        <f>'€ Zone Details'!H3</f>
        <v>816.10199999999998</v>
      </c>
      <c r="I3" s="349">
        <f>'€ Zone Details'!I3</f>
        <v>855.54600000000005</v>
      </c>
      <c r="J3" s="349">
        <f>'€ Zone Details'!J3</f>
        <v>1522.7</v>
      </c>
      <c r="K3" s="349">
        <f>'€ Zone Details'!K3</f>
        <v>698.69</v>
      </c>
      <c r="L3" s="350">
        <f>'€ Zone Details'!L3</f>
        <v>891.74</v>
      </c>
      <c r="M3" s="344">
        <f>SUM(B3:L3)</f>
        <v>13001.273000000001</v>
      </c>
      <c r="N3" s="22"/>
      <c r="O3" s="419"/>
      <c r="P3" s="419"/>
      <c r="Q3" s="418"/>
    </row>
    <row r="4" spans="1:17">
      <c r="A4" s="342" t="s">
        <v>14</v>
      </c>
      <c r="B4" s="349">
        <f>'€ Zone Details'!B7</f>
        <v>835.47237500000006</v>
      </c>
      <c r="C4" s="349">
        <f>'€ Zone Details'!C7</f>
        <v>379.95500000000004</v>
      </c>
      <c r="D4" s="349">
        <f>'€ Zone Details'!D7</f>
        <v>591.86750000000006</v>
      </c>
      <c r="E4" s="349">
        <f>'€ Zone Details'!E7</f>
        <v>369.05462500000004</v>
      </c>
      <c r="F4" s="349">
        <f>'€ Zone Details'!F7</f>
        <v>580.99874999999997</v>
      </c>
      <c r="G4" s="349">
        <f>'€ Zone Details'!G7</f>
        <v>93.409125000000017</v>
      </c>
      <c r="H4" s="349">
        <f>'€ Zone Details'!H7</f>
        <v>280.98649999999998</v>
      </c>
      <c r="I4" s="349">
        <f>'€ Zone Details'!I7</f>
        <v>155.212875</v>
      </c>
      <c r="J4" s="349">
        <f>'€ Zone Details'!J7</f>
        <v>280.34862500000003</v>
      </c>
      <c r="K4" s="349">
        <f>'€ Zone Details'!K7</f>
        <v>158.48787500000003</v>
      </c>
      <c r="L4" s="350">
        <f>'€ Zone Details'!L7</f>
        <v>164.38062500000001</v>
      </c>
      <c r="M4" s="344">
        <f t="shared" ref="M4:M11" si="0">SUM(B4:L4)</f>
        <v>3890.1738750000004</v>
      </c>
      <c r="O4" s="418"/>
    </row>
    <row r="5" spans="1:17">
      <c r="A5" s="342" t="s">
        <v>15</v>
      </c>
      <c r="B5" s="349">
        <f>'€ Zone Details'!B8</f>
        <v>935.92000000000007</v>
      </c>
      <c r="C5" s="349">
        <f>'€ Zone Details'!C8</f>
        <v>833.76</v>
      </c>
      <c r="D5" s="349">
        <f>'€ Zone Details'!D8</f>
        <v>506.59999999999997</v>
      </c>
      <c r="E5" s="349">
        <f>'€ Zone Details'!E8</f>
        <v>811.8</v>
      </c>
      <c r="F5" s="349">
        <f>'€ Zone Details'!F8</f>
        <v>429.84</v>
      </c>
      <c r="G5" s="349">
        <f>'€ Zone Details'!G8</f>
        <v>293.66000000000003</v>
      </c>
      <c r="H5" s="349">
        <f>'€ Zone Details'!H8</f>
        <v>467.8</v>
      </c>
      <c r="I5" s="349">
        <f>'€ Zone Details'!I8</f>
        <v>626.46299999999997</v>
      </c>
      <c r="J5" s="349">
        <f>'€ Zone Details'!J8</f>
        <v>995.48</v>
      </c>
      <c r="K5" s="349">
        <f>'€ Zone Details'!K8</f>
        <v>439.16</v>
      </c>
      <c r="L5" s="350">
        <f>'€ Zone Details'!L8</f>
        <v>611.77</v>
      </c>
      <c r="M5" s="344">
        <f t="shared" si="0"/>
        <v>6952.2530000000006</v>
      </c>
    </row>
    <row r="6" spans="1:17">
      <c r="A6" s="342" t="s">
        <v>16</v>
      </c>
      <c r="B6" s="349">
        <f>'€ Zone Details'!B9</f>
        <v>393.30762499999997</v>
      </c>
      <c r="C6" s="349">
        <f>'€ Zone Details'!C9</f>
        <v>231.63</v>
      </c>
      <c r="D6" s="349">
        <f>'€ Zone Details'!D9</f>
        <v>257.83249999999998</v>
      </c>
      <c r="E6" s="349">
        <f>'€ Zone Details'!E9</f>
        <v>157.145375</v>
      </c>
      <c r="F6" s="349">
        <f>'€ Zone Details'!F9</f>
        <v>286.84225000000004</v>
      </c>
      <c r="G6" s="349">
        <f>'€ Zone Details'!G9</f>
        <v>76.560874999999996</v>
      </c>
      <c r="H6" s="349">
        <f>'€ Zone Details'!H9</f>
        <v>66.813500000000005</v>
      </c>
      <c r="I6" s="349">
        <f>'€ Zone Details'!I9</f>
        <v>73.971125000000001</v>
      </c>
      <c r="J6" s="349">
        <f>'€ Zone Details'!J9</f>
        <v>246.871375</v>
      </c>
      <c r="K6" s="349">
        <f>'€ Zone Details'!K9</f>
        <v>101.012125</v>
      </c>
      <c r="L6" s="350">
        <f>'€ Zone Details'!L9</f>
        <v>115.710375</v>
      </c>
      <c r="M6" s="344">
        <f t="shared" si="0"/>
        <v>2007.6971250000001</v>
      </c>
    </row>
    <row r="7" spans="1:17">
      <c r="A7" s="342" t="s">
        <v>17</v>
      </c>
      <c r="B7" s="349">
        <f>'€ Zone Details'!B17</f>
        <v>41.260956214959236</v>
      </c>
      <c r="C7" s="349">
        <f>'€ Zone Details'!C17</f>
        <v>53.315967907009984</v>
      </c>
      <c r="D7" s="349">
        <f>'€ Zone Details'!D17</f>
        <v>26.982289230902378</v>
      </c>
      <c r="E7" s="349">
        <f>'€ Zone Details'!E17</f>
        <v>38.086227667836546</v>
      </c>
      <c r="F7" s="349">
        <f>'€ Zone Details'!F17</f>
        <v>21.409502013066419</v>
      </c>
      <c r="G7" s="349">
        <f>'€ Zone Details'!G17</f>
        <v>24.134139384357006</v>
      </c>
      <c r="H7" s="349">
        <f>'€ Zone Details'!H17</f>
        <v>21.462917175754122</v>
      </c>
      <c r="I7" s="349">
        <f>'€ Zone Details'!I17</f>
        <v>38.203111824451909</v>
      </c>
      <c r="J7" s="349">
        <f>'€ Zone Details'!J17</f>
        <v>34.992918112069866</v>
      </c>
      <c r="K7" s="349">
        <f>'€ Zone Details'!K17</f>
        <v>23.965652590281557</v>
      </c>
      <c r="L7" s="350">
        <f>'€ Zone Details'!L17</f>
        <v>28.153835662249762</v>
      </c>
      <c r="M7" s="344">
        <f t="shared" si="0"/>
        <v>351.96751778293878</v>
      </c>
    </row>
    <row r="8" spans="1:17">
      <c r="A8" s="342" t="s">
        <v>18</v>
      </c>
      <c r="B8" s="349">
        <f>'€ Zone Details'!B18</f>
        <v>38.59882372500001</v>
      </c>
      <c r="C8" s="349">
        <f>'€ Zone Details'!C18</f>
        <v>17.553921000000003</v>
      </c>
      <c r="D8" s="349">
        <f>'€ Zone Details'!D18</f>
        <v>27.344278500000005</v>
      </c>
      <c r="E8" s="349">
        <f>'€ Zone Details'!E18</f>
        <v>17.050323675000005</v>
      </c>
      <c r="F8" s="349">
        <f>'€ Zone Details'!F18</f>
        <v>26.842142250000002</v>
      </c>
      <c r="G8" s="349">
        <f>'€ Zone Details'!G18</f>
        <v>4.3155015750000016</v>
      </c>
      <c r="H8" s="349">
        <f>'€ Zone Details'!H18</f>
        <v>12.9815763</v>
      </c>
      <c r="I8" s="349">
        <f>'€ Zone Details'!I18</f>
        <v>7.1708348250000009</v>
      </c>
      <c r="J8" s="349">
        <f>'€ Zone Details'!J18</f>
        <v>12.952106475000003</v>
      </c>
      <c r="K8" s="349">
        <f>'€ Zone Details'!K18</f>
        <v>7.3221398250000025</v>
      </c>
      <c r="L8" s="350">
        <f>'€ Zone Details'!L18</f>
        <v>7.5943848750000011</v>
      </c>
      <c r="M8" s="344">
        <f t="shared" si="0"/>
        <v>179.72603302500005</v>
      </c>
    </row>
    <row r="9" spans="1:17" ht="15.75">
      <c r="A9" s="343" t="s">
        <v>19</v>
      </c>
      <c r="B9" s="351">
        <f>'€ Zone Details'!B19</f>
        <v>79.859779939959253</v>
      </c>
      <c r="C9" s="351">
        <f>'€ Zone Details'!C19</f>
        <v>70.869888907009994</v>
      </c>
      <c r="D9" s="351">
        <f>'€ Zone Details'!D19</f>
        <v>54.326567730902383</v>
      </c>
      <c r="E9" s="351">
        <f>'€ Zone Details'!E19</f>
        <v>55.136551342836555</v>
      </c>
      <c r="F9" s="351">
        <f>'€ Zone Details'!F19</f>
        <v>48.251644263066424</v>
      </c>
      <c r="G9" s="351">
        <f>'€ Zone Details'!G19</f>
        <v>28.449640959357009</v>
      </c>
      <c r="H9" s="351">
        <f>'€ Zone Details'!H19</f>
        <v>34.444493475754122</v>
      </c>
      <c r="I9" s="351">
        <f>'€ Zone Details'!I19</f>
        <v>45.373946649451909</v>
      </c>
      <c r="J9" s="351">
        <f>'€ Zone Details'!J19</f>
        <v>47.945024587069867</v>
      </c>
      <c r="K9" s="351">
        <f>'€ Zone Details'!K19</f>
        <v>31.287792415281558</v>
      </c>
      <c r="L9" s="352">
        <f>'€ Zone Details'!L19</f>
        <v>35.748220537249765</v>
      </c>
      <c r="M9" s="345">
        <f t="shared" si="0"/>
        <v>531.69355080793878</v>
      </c>
      <c r="N9" s="21"/>
    </row>
    <row r="10" spans="1:17" s="396" customFormat="1" hidden="1">
      <c r="A10" s="398" t="s">
        <v>20</v>
      </c>
      <c r="B10" s="399" t="e">
        <f>30.617978676/B20</f>
        <v>#DIV/0!</v>
      </c>
      <c r="C10" s="399" t="e">
        <f>12.343207057/B20</f>
        <v>#DIV/0!</v>
      </c>
      <c r="D10" s="399" t="e">
        <f>15.252344456/B20</f>
        <v>#DIV/0!</v>
      </c>
      <c r="E10" s="399" t="e">
        <f>7.73799/B20</f>
        <v>#DIV/0!</v>
      </c>
      <c r="F10" s="399" t="e">
        <f>11.906951726/B20</f>
        <v>#DIV/0!</v>
      </c>
      <c r="G10" s="399" t="e">
        <f>3.816958772/B20</f>
        <v>#DIV/0!</v>
      </c>
      <c r="H10" s="399" t="e">
        <f>1.820829419/B20</f>
        <v>#DIV/0!</v>
      </c>
      <c r="I10" s="399" t="e">
        <f>4.681807662/B20</f>
        <v>#DIV/0!</v>
      </c>
      <c r="J10" s="399" t="e">
        <f>8.977394288/B20</f>
        <v>#DIV/0!</v>
      </c>
      <c r="K10" s="399" t="e">
        <f>4.79171832/B20</f>
        <v>#DIV/0!</v>
      </c>
      <c r="L10" s="400" t="e">
        <f>8.608829623/B20</f>
        <v>#DIV/0!</v>
      </c>
      <c r="M10" s="401" t="e">
        <f t="shared" si="0"/>
        <v>#DIV/0!</v>
      </c>
    </row>
    <row r="11" spans="1:17">
      <c r="A11" s="342" t="s">
        <v>21</v>
      </c>
      <c r="B11" s="349">
        <f>'€ Zone Details'!B20</f>
        <v>81</v>
      </c>
      <c r="C11" s="349">
        <f>'€ Zone Details'!C20</f>
        <v>54</v>
      </c>
      <c r="D11" s="349">
        <f>'€ Zone Details'!D20</f>
        <v>43.8</v>
      </c>
      <c r="E11" s="349">
        <f>'€ Zone Details'!E20</f>
        <v>66</v>
      </c>
      <c r="F11" s="349">
        <f>'€ Zone Details'!F20</f>
        <v>44.148000000000003</v>
      </c>
      <c r="G11" s="349">
        <f>'€ Zone Details'!G20</f>
        <v>24.366</v>
      </c>
      <c r="H11" s="349">
        <f>'€ Zone Details'!H20</f>
        <v>41.54</v>
      </c>
      <c r="I11" s="349">
        <f>'€ Zone Details'!I20</f>
        <v>43.271999999999998</v>
      </c>
      <c r="J11" s="349">
        <f>'€ Zone Details'!J20</f>
        <v>70.5</v>
      </c>
      <c r="K11" s="349">
        <f>'€ Zone Details'!K20</f>
        <v>43.65</v>
      </c>
      <c r="L11" s="350">
        <f>'€ Zone Details'!L20</f>
        <v>47.552</v>
      </c>
      <c r="M11" s="344">
        <f t="shared" si="0"/>
        <v>559.82800000000009</v>
      </c>
    </row>
    <row r="12" spans="1:17">
      <c r="A12" s="343" t="s">
        <v>22</v>
      </c>
      <c r="B12" s="353">
        <f>'€ Zone Details'!B21</f>
        <v>0.98592320913529941</v>
      </c>
      <c r="C12" s="353">
        <f>'€ Zone Details'!C21</f>
        <v>1.3124053501298147</v>
      </c>
      <c r="D12" s="353">
        <f>'€ Zone Details'!D21</f>
        <v>1.2403325965959449</v>
      </c>
      <c r="E12" s="353">
        <f>'€ Zone Details'!E21</f>
        <v>0.83540229307328118</v>
      </c>
      <c r="F12" s="353">
        <f>'€ Zone Details'!F21</f>
        <v>1.0929519856633692</v>
      </c>
      <c r="G12" s="353">
        <f>'€ Zone Details'!G21</f>
        <v>1.1675958696280477</v>
      </c>
      <c r="H12" s="353">
        <f>'€ Zone Details'!H21</f>
        <v>0.82918857669124035</v>
      </c>
      <c r="I12" s="353">
        <f>'€ Zone Details'!I21</f>
        <v>1.0485752137514308</v>
      </c>
      <c r="J12" s="353">
        <f>'€ Zone Details'!J21</f>
        <v>0.68007127073857965</v>
      </c>
      <c r="K12" s="353">
        <f>'€ Zone Details'!K21</f>
        <v>0.71678791329396474</v>
      </c>
      <c r="L12" s="354">
        <f>'€ Zone Details'!L21</f>
        <v>0.75177112502628207</v>
      </c>
      <c r="M12" s="346">
        <f>M9/M11</f>
        <v>0.94974447653196825</v>
      </c>
    </row>
    <row r="13" spans="1:17">
      <c r="B13" s="22"/>
      <c r="C13" s="22"/>
      <c r="D13" s="22"/>
      <c r="E13" s="22"/>
      <c r="F13" s="22"/>
      <c r="G13" s="22"/>
      <c r="H13" s="22"/>
      <c r="I13" s="22"/>
      <c r="J13" s="22"/>
      <c r="K13" s="22"/>
      <c r="L13" s="22"/>
      <c r="M13" s="22"/>
    </row>
    <row r="14" spans="1:17">
      <c r="B14" s="22"/>
      <c r="C14" s="22"/>
      <c r="D14" s="22"/>
      <c r="E14" s="22"/>
      <c r="F14" s="22"/>
      <c r="G14" s="22"/>
      <c r="H14" s="22"/>
      <c r="I14" s="22"/>
      <c r="J14" s="22"/>
      <c r="K14" s="22"/>
      <c r="L14" s="22"/>
      <c r="M14" s="22"/>
    </row>
  </sheetData>
  <sheetProtection algorithmName="SHA-512" hashValue="xTdbJw8F+/o0wnicVhWfYtTLkvzMnDAcOOdPHTdDkA8DvC8fjZpB8HUgRlXytt51L2GEcX7Ye+bPynZ/YDemow==" saltValue="Vgg5hnY3PiF05vt6J1kp1w==" spinCount="100000" sheet="1" objects="1" scenarios="1" selectLockedCells="1" selectUn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512AB-CEB5-0D41-9EE2-5B35FE7C10E1}">
  <dimension ref="A1:M24"/>
  <sheetViews>
    <sheetView showGridLines="0" topLeftCell="A2" zoomScale="110" zoomScaleNormal="110" workbookViewId="0">
      <pane xSplit="1" topLeftCell="B1" activePane="topRight" state="frozen"/>
      <selection pane="topRight" activeCell="A2" sqref="A1:XFD1048576"/>
    </sheetView>
  </sheetViews>
  <sheetFormatPr baseColWidth="10" defaultColWidth="10.875" defaultRowHeight="15.75"/>
  <cols>
    <col min="1" max="1" width="57.5" customWidth="1"/>
    <col min="2" max="2" width="13.5" bestFit="1" customWidth="1"/>
    <col min="3" max="3" width="14.875" bestFit="1" customWidth="1"/>
    <col min="4" max="4" width="17.375" bestFit="1" customWidth="1"/>
    <col min="5" max="5" width="11.5" customWidth="1"/>
    <col min="6" max="6" width="15.5" bestFit="1" customWidth="1"/>
    <col min="7" max="7" width="15" bestFit="1" customWidth="1"/>
    <col min="8" max="8" width="16" bestFit="1" customWidth="1"/>
    <col min="9" max="9" width="14" customWidth="1"/>
    <col min="10" max="12" width="12.875" customWidth="1"/>
    <col min="13" max="13" width="21.5" bestFit="1" customWidth="1"/>
  </cols>
  <sheetData>
    <row r="1" spans="1:13" s="127" customFormat="1" ht="15"/>
    <row r="2" spans="1:13" s="20" customFormat="1" ht="15">
      <c r="A2" s="215" t="s">
        <v>0</v>
      </c>
      <c r="B2" s="128" t="s">
        <v>24</v>
      </c>
      <c r="C2" s="129" t="s">
        <v>25</v>
      </c>
      <c r="D2" s="129" t="s">
        <v>26</v>
      </c>
      <c r="E2" s="129" t="s">
        <v>4</v>
      </c>
      <c r="F2" s="129" t="s">
        <v>27</v>
      </c>
      <c r="G2" s="129" t="s">
        <v>6</v>
      </c>
      <c r="H2" s="129" t="s">
        <v>28</v>
      </c>
      <c r="I2" s="129" t="s">
        <v>8</v>
      </c>
      <c r="J2" s="129" t="s">
        <v>9</v>
      </c>
      <c r="K2" s="129" t="s">
        <v>10</v>
      </c>
      <c r="L2" s="131" t="s">
        <v>29</v>
      </c>
    </row>
    <row r="3" spans="1:13" s="20" customFormat="1" ht="15">
      <c r="A3" s="132" t="s">
        <v>30</v>
      </c>
      <c r="B3" s="29">
        <v>2164.71</v>
      </c>
      <c r="C3" s="28">
        <f>C6+C8+C9</f>
        <v>1596.4749999999999</v>
      </c>
      <c r="D3" s="28">
        <v>1356</v>
      </c>
      <c r="E3" s="28">
        <v>1338</v>
      </c>
      <c r="F3" s="28">
        <v>1297.67</v>
      </c>
      <c r="G3" s="28">
        <v>463.64</v>
      </c>
      <c r="H3" s="28">
        <v>816.10199999999998</v>
      </c>
      <c r="I3" s="28">
        <v>855.54600000000005</v>
      </c>
      <c r="J3" s="28">
        <v>1522.7</v>
      </c>
      <c r="K3" s="28">
        <v>698.69</v>
      </c>
      <c r="L3" s="133">
        <v>891.74</v>
      </c>
    </row>
    <row r="4" spans="1:13" s="20" customFormat="1" ht="15">
      <c r="A4" s="132" t="s">
        <v>31</v>
      </c>
      <c r="B4" s="29">
        <v>155.13999999999999</v>
      </c>
      <c r="C4" s="28">
        <v>93.08</v>
      </c>
      <c r="D4" s="28">
        <v>102.3</v>
      </c>
      <c r="E4" s="28">
        <v>80.2</v>
      </c>
      <c r="F4" s="28">
        <v>137.59</v>
      </c>
      <c r="G4" s="28">
        <v>41.16</v>
      </c>
      <c r="H4" s="28">
        <v>9.75</v>
      </c>
      <c r="I4" s="28">
        <v>17.305</v>
      </c>
      <c r="J4" s="28">
        <v>108</v>
      </c>
      <c r="K4" s="28">
        <v>44.3</v>
      </c>
      <c r="L4" s="133">
        <v>88</v>
      </c>
    </row>
    <row r="5" spans="1:13" s="20" customFormat="1" ht="15">
      <c r="A5" s="132" t="s">
        <v>32</v>
      </c>
      <c r="B5" s="29">
        <v>196.92699999999999</v>
      </c>
      <c r="C5" s="28">
        <v>154.80000000000001</v>
      </c>
      <c r="D5" s="28">
        <v>111.82</v>
      </c>
      <c r="E5" s="28">
        <v>80.921000000000006</v>
      </c>
      <c r="F5" s="28">
        <v>53.366</v>
      </c>
      <c r="G5" s="28">
        <v>41.869</v>
      </c>
      <c r="H5" s="28">
        <f>29.531+4.505</f>
        <v>34.036000000000001</v>
      </c>
      <c r="I5" s="28">
        <v>54.363</v>
      </c>
      <c r="J5" s="28">
        <v>84.296999999999997</v>
      </c>
      <c r="K5" s="28">
        <v>36.298999999999999</v>
      </c>
      <c r="L5" s="391">
        <v>38.984999999999999</v>
      </c>
    </row>
    <row r="6" spans="1:13" s="20" customFormat="1" ht="15">
      <c r="A6" s="132" t="s">
        <v>33</v>
      </c>
      <c r="B6" s="29">
        <f>155.14+131.94+196.92+247.28+12.45+50.4+2.26+4.3+257.82+5.95</f>
        <v>1064.46</v>
      </c>
      <c r="C6" s="28">
        <f>93.08+399.48+19.37+7.15+4.3+7.23+0.475</f>
        <v>531.08500000000004</v>
      </c>
      <c r="D6" s="28">
        <f>102.3+385.7+16.8+53.3+164.9+12.5+0.1+0.5</f>
        <v>736.1</v>
      </c>
      <c r="E6" s="28">
        <f>80.2+218.8+9.3+44.6+7.7+119</f>
        <v>479.6</v>
      </c>
      <c r="F6" s="28">
        <f>137.59+9.64+13.8+0.428+530.713+45.5+0.93</f>
        <v>738.601</v>
      </c>
      <c r="G6" s="28">
        <f>41.16+30.94+30.2+44.84+0.96+1.99+0.18</f>
        <v>150.27000000000001</v>
      </c>
      <c r="H6" s="28">
        <f>169+9.7+49.4+72.4+3</f>
        <v>303.5</v>
      </c>
      <c r="I6" s="28">
        <f>17.305+81.88+79.702+5.934+3.296+4.787</f>
        <v>192.904</v>
      </c>
      <c r="J6" s="28">
        <f>101.07+108.23+4.9+62.07+125.71+7.22+1.7+8.77+0.29</f>
        <v>419.96000000000004</v>
      </c>
      <c r="K6" s="28">
        <f>44.3+102.68+5.55+1.2+61.18+1.49</f>
        <v>216.40000000000003</v>
      </c>
      <c r="L6" s="133">
        <f>267</f>
        <v>267</v>
      </c>
    </row>
    <row r="7" spans="1:13" s="20" customFormat="1" ht="15">
      <c r="A7" s="132" t="s">
        <v>34</v>
      </c>
      <c r="B7" s="29">
        <f>B6-B4-(B5*0.375)</f>
        <v>835.47237500000006</v>
      </c>
      <c r="C7" s="28">
        <f>C6-C4-(C5*0.375)</f>
        <v>379.95500000000004</v>
      </c>
      <c r="D7" s="28">
        <f>D6-D4-(D5*0.375)</f>
        <v>591.86750000000006</v>
      </c>
      <c r="E7" s="28">
        <f t="shared" ref="E7:L7" si="0">E6-E4-E5*0.375</f>
        <v>369.05462500000004</v>
      </c>
      <c r="F7" s="28">
        <f t="shared" si="0"/>
        <v>580.99874999999997</v>
      </c>
      <c r="G7" s="28">
        <f t="shared" si="0"/>
        <v>93.409125000000017</v>
      </c>
      <c r="H7" s="28">
        <f t="shared" si="0"/>
        <v>280.98649999999998</v>
      </c>
      <c r="I7" s="28">
        <f t="shared" si="0"/>
        <v>155.212875</v>
      </c>
      <c r="J7" s="28">
        <f>J6-J4-J5*0.375</f>
        <v>280.34862500000003</v>
      </c>
      <c r="K7" s="28">
        <f t="shared" si="0"/>
        <v>158.48787500000003</v>
      </c>
      <c r="L7" s="133">
        <f t="shared" si="0"/>
        <v>164.38062500000001</v>
      </c>
      <c r="M7" s="22"/>
    </row>
    <row r="8" spans="1:13" s="20" customFormat="1" ht="15">
      <c r="A8" s="132" t="s">
        <v>35</v>
      </c>
      <c r="B8" s="29">
        <f>21.69+805.78+108.45</f>
        <v>935.92000000000007</v>
      </c>
      <c r="C8" s="28">
        <f>438.58+395.18</f>
        <v>833.76</v>
      </c>
      <c r="D8" s="28">
        <f>56.4+450.2</f>
        <v>506.59999999999997</v>
      </c>
      <c r="E8" s="28">
        <f>811.8</f>
        <v>811.8</v>
      </c>
      <c r="F8" s="28">
        <f>429.84</f>
        <v>429.84</v>
      </c>
      <c r="G8" s="28">
        <f>293.66</f>
        <v>293.66000000000003</v>
      </c>
      <c r="H8" s="28">
        <v>467.8</v>
      </c>
      <c r="I8" s="28">
        <v>626.46299999999997</v>
      </c>
      <c r="J8" s="28">
        <f>995.48</f>
        <v>995.48</v>
      </c>
      <c r="K8" s="28">
        <f>17.92+382.36+38.88</f>
        <v>439.16</v>
      </c>
      <c r="L8" s="133">
        <v>611.77</v>
      </c>
    </row>
    <row r="9" spans="1:13" s="20" customFormat="1" ht="15">
      <c r="A9" s="132" t="s">
        <v>36</v>
      </c>
      <c r="B9" s="29">
        <f>6.81+113.54+32.3+3.85+7.82+(B5*0.375)+B4</f>
        <v>393.30762499999997</v>
      </c>
      <c r="C9" s="28">
        <f>4.3+38.35+7.23+15.34+15.28+C5*0.375+C4</f>
        <v>231.63</v>
      </c>
      <c r="D9" s="28">
        <f>68+5.8+30.7+4.6+4.5+D5*0.375+D4</f>
        <v>257.83249999999998</v>
      </c>
      <c r="E9" s="28">
        <f>33.6+8.3+4.7+E5*0.375+E4</f>
        <v>157.145375</v>
      </c>
      <c r="F9" s="28">
        <f>4.93+7.03+110.36+0.93+5.99+F5*0.375+F4</f>
        <v>286.84225000000004</v>
      </c>
      <c r="G9" s="28">
        <f>3.05+3.49+0.01+7.96+0.44+3+1.75+G5*0.375+G4</f>
        <v>76.560874999999996</v>
      </c>
      <c r="H9" s="28">
        <f>15.4+9.2+8.8+7.9+3+(H5*0.375)+H4</f>
        <v>66.813500000000005</v>
      </c>
      <c r="I9" s="28">
        <f>11.097+2.8+12.922+6.949+2.512+(I5*0.375)+I4</f>
        <v>73.971125000000001</v>
      </c>
      <c r="J9" s="28">
        <f>35.24+27.69+29.59+10.14+4.6+J5*0.375+J4</f>
        <v>246.871375</v>
      </c>
      <c r="K9" s="28">
        <f>10.07+6.97+26.06+K5*0.375+K4</f>
        <v>101.012125</v>
      </c>
      <c r="L9" s="133">
        <f>3.17+1.92+0.251+0.73+7.02+L5*0.375+L4</f>
        <v>115.710375</v>
      </c>
    </row>
    <row r="10" spans="1:13" s="20" customFormat="1" ht="15">
      <c r="A10" s="132" t="s">
        <v>37</v>
      </c>
      <c r="B10" s="29">
        <v>1581</v>
      </c>
      <c r="C10" s="28">
        <v>1386.8150000000001</v>
      </c>
      <c r="D10" s="28">
        <v>879.6</v>
      </c>
      <c r="E10" s="28">
        <v>1120</v>
      </c>
      <c r="F10" s="28">
        <v>902.15</v>
      </c>
      <c r="G10" s="28">
        <v>532.04999999999995</v>
      </c>
      <c r="H10" s="28">
        <v>733.51300000000003</v>
      </c>
      <c r="I10" s="28">
        <v>984.32</v>
      </c>
      <c r="J10" s="28">
        <v>1546.48</v>
      </c>
      <c r="K10" s="28">
        <v>739</v>
      </c>
      <c r="L10" s="133">
        <v>1361</v>
      </c>
    </row>
    <row r="11" spans="1:13" s="20" customFormat="1" thickBot="1">
      <c r="A11" s="132" t="s">
        <v>38</v>
      </c>
      <c r="B11" s="29">
        <f>B10-B14</f>
        <v>1266.49</v>
      </c>
      <c r="C11" s="28">
        <f t="shared" ref="C11:K11" si="1">C10-C14</f>
        <v>668.54500000000007</v>
      </c>
      <c r="D11" s="28">
        <f t="shared" si="1"/>
        <v>784.66000000000008</v>
      </c>
      <c r="E11" s="28">
        <f t="shared" si="1"/>
        <v>1068.8</v>
      </c>
      <c r="F11" s="28">
        <f t="shared" si="1"/>
        <v>611.44000000000005</v>
      </c>
      <c r="G11" s="28">
        <f t="shared" si="1"/>
        <v>451.31999999999994</v>
      </c>
      <c r="H11" s="28">
        <f t="shared" si="1"/>
        <v>630.96300000000008</v>
      </c>
      <c r="I11" s="28">
        <f t="shared" si="1"/>
        <v>800.54000000000008</v>
      </c>
      <c r="J11" s="28">
        <f t="shared" si="1"/>
        <v>1327.4650000000001</v>
      </c>
      <c r="K11" s="28">
        <f t="shared" si="1"/>
        <v>642.39</v>
      </c>
      <c r="L11" s="133">
        <f t="shared" ref="L11" si="2">L10-L14</f>
        <v>1082.336</v>
      </c>
    </row>
    <row r="12" spans="1:13" s="20" customFormat="1" ht="15">
      <c r="A12" s="132" t="s">
        <v>39</v>
      </c>
      <c r="B12" s="99">
        <f>'Industry breakdown'!D41</f>
        <v>52.831032096817914</v>
      </c>
      <c r="C12" s="97">
        <f>'Industry breakdown'!F41</f>
        <v>50.157060026592738</v>
      </c>
      <c r="D12" s="97">
        <f>'Industry breakdown'!H41</f>
        <v>41.756680856151959</v>
      </c>
      <c r="E12" s="97">
        <f>'Industry breakdown'!J41</f>
        <v>49.799530710523108</v>
      </c>
      <c r="F12" s="97">
        <f>'Industry breakdown'!L41</f>
        <v>29.341966506921494</v>
      </c>
      <c r="G12" s="97">
        <f>'Industry breakdown'!N41</f>
        <v>39.395974996019049</v>
      </c>
      <c r="H12" s="97">
        <f>'Industry breakdown'!P41</f>
        <v>28.15364930982695</v>
      </c>
      <c r="I12" s="97">
        <f>'Industry breakdown'!R41</f>
        <v>50.168891701135919</v>
      </c>
      <c r="J12" s="97">
        <f>'Industry breakdown'!T41</f>
        <v>42.61457557195294</v>
      </c>
      <c r="K12" s="97">
        <f>'Industry breakdown'!V41</f>
        <v>35.146664409080778</v>
      </c>
      <c r="L12" s="134">
        <f>'Industry breakdown'!X41</f>
        <v>47.687328311185979</v>
      </c>
      <c r="M12" s="440" t="s">
        <v>40</v>
      </c>
    </row>
    <row r="13" spans="1:13" s="20" customFormat="1" ht="16.5" thickBot="1">
      <c r="A13" s="132" t="s">
        <v>41</v>
      </c>
      <c r="B13" s="100">
        <f>B12/B11</f>
        <v>4.1714527628972924E-2</v>
      </c>
      <c r="C13" s="98">
        <f t="shared" ref="C13:K13" si="3">C12/C11</f>
        <v>7.5024209330101538E-2</v>
      </c>
      <c r="D13" s="98">
        <f t="shared" si="3"/>
        <v>5.3216273107016994E-2</v>
      </c>
      <c r="E13" s="98">
        <f t="shared" si="3"/>
        <v>4.6593872296522371E-2</v>
      </c>
      <c r="F13" s="98">
        <f t="shared" si="3"/>
        <v>4.7988300580468227E-2</v>
      </c>
      <c r="G13" s="98">
        <f t="shared" si="3"/>
        <v>8.7290558796461609E-2</v>
      </c>
      <c r="H13" s="98">
        <f t="shared" si="3"/>
        <v>4.4620127186264402E-2</v>
      </c>
      <c r="I13" s="98">
        <f t="shared" si="3"/>
        <v>6.2668813177525068E-2</v>
      </c>
      <c r="J13" s="98">
        <f t="shared" si="3"/>
        <v>3.2102221581701167E-2</v>
      </c>
      <c r="K13" s="98">
        <f t="shared" si="3"/>
        <v>5.4712346719408424E-2</v>
      </c>
      <c r="L13" s="135">
        <f t="shared" ref="L13" si="4">L12/L11</f>
        <v>4.4059634264392925E-2</v>
      </c>
      <c r="M13" s="441">
        <f>AVERAGE(B13:L13)</f>
        <v>5.363553496989415E-2</v>
      </c>
    </row>
    <row r="14" spans="1:13" s="20" customFormat="1" ht="15">
      <c r="A14" s="132" t="s">
        <v>42</v>
      </c>
      <c r="B14" s="29">
        <f>(299.11+15.4)</f>
        <v>314.51</v>
      </c>
      <c r="C14" s="28">
        <v>718.27</v>
      </c>
      <c r="D14" s="28">
        <v>94.94</v>
      </c>
      <c r="E14" s="28">
        <v>51.2</v>
      </c>
      <c r="F14" s="28">
        <v>290.70999999999998</v>
      </c>
      <c r="G14" s="28">
        <f>55.87+24.86</f>
        <v>80.72999999999999</v>
      </c>
      <c r="H14" s="28">
        <v>102.55</v>
      </c>
      <c r="I14" s="28">
        <v>183.78</v>
      </c>
      <c r="J14" s="28">
        <f>438.03/2</f>
        <v>219.01499999999999</v>
      </c>
      <c r="K14" s="28">
        <v>96.61</v>
      </c>
      <c r="L14" s="133">
        <v>278.66399999999999</v>
      </c>
    </row>
    <row r="15" spans="1:13" s="20" customFormat="1" ht="15">
      <c r="A15" s="212" t="s">
        <v>43</v>
      </c>
      <c r="B15" s="29">
        <f>B14*$M13</f>
        <v>16.868912103381408</v>
      </c>
      <c r="C15" s="28">
        <f t="shared" ref="C15:L15" si="5">C14*$M13</f>
        <v>38.52479570282587</v>
      </c>
      <c r="D15" s="28">
        <f t="shared" si="5"/>
        <v>5.0921576900417502</v>
      </c>
      <c r="E15" s="28">
        <f t="shared" si="5"/>
        <v>2.7461393904585805</v>
      </c>
      <c r="F15" s="28">
        <f t="shared" si="5"/>
        <v>15.592386371097927</v>
      </c>
      <c r="G15" s="28">
        <f t="shared" si="5"/>
        <v>4.3299967381195543</v>
      </c>
      <c r="H15" s="28">
        <f t="shared" si="5"/>
        <v>5.5003241111626453</v>
      </c>
      <c r="I15" s="28">
        <f t="shared" si="5"/>
        <v>9.8571386167671466</v>
      </c>
      <c r="J15" s="28">
        <f t="shared" si="5"/>
        <v>11.746986691431367</v>
      </c>
      <c r="K15" s="28">
        <f>K14*$M13</f>
        <v>5.1817290334414734</v>
      </c>
      <c r="L15" s="133">
        <f t="shared" si="5"/>
        <v>14.946292716850582</v>
      </c>
    </row>
    <row r="16" spans="1:13" s="20" customFormat="1" ht="15">
      <c r="A16" s="132" t="s">
        <v>44</v>
      </c>
      <c r="B16" s="29">
        <f>B12+B15</f>
        <v>69.699944200199326</v>
      </c>
      <c r="C16" s="28">
        <f>C12+C15</f>
        <v>88.681855729418601</v>
      </c>
      <c r="D16" s="28">
        <f t="shared" ref="D16:K16" si="6">D12+D15</f>
        <v>46.848838546193711</v>
      </c>
      <c r="E16" s="28">
        <f t="shared" si="6"/>
        <v>52.545670100981688</v>
      </c>
      <c r="F16" s="28">
        <f t="shared" si="6"/>
        <v>44.934352878019425</v>
      </c>
      <c r="G16" s="28">
        <f t="shared" si="6"/>
        <v>43.725971734138604</v>
      </c>
      <c r="H16" s="28">
        <f t="shared" si="6"/>
        <v>33.653973420989594</v>
      </c>
      <c r="I16" s="28">
        <f t="shared" si="6"/>
        <v>60.026030317903064</v>
      </c>
      <c r="J16" s="28">
        <f t="shared" si="6"/>
        <v>54.361562263384307</v>
      </c>
      <c r="K16" s="28">
        <f t="shared" si="6"/>
        <v>40.328393442522248</v>
      </c>
      <c r="L16" s="133">
        <f>L12+L15</f>
        <v>62.633621028036558</v>
      </c>
      <c r="M16" s="21"/>
    </row>
    <row r="17" spans="1:13" s="20" customFormat="1" ht="15">
      <c r="A17" s="136" t="s">
        <v>45</v>
      </c>
      <c r="B17" s="30">
        <f>(B16*B8/B10)</f>
        <v>41.260956214959236</v>
      </c>
      <c r="C17" s="31">
        <f>(C16*C8/C10)</f>
        <v>53.315967907009984</v>
      </c>
      <c r="D17" s="31">
        <f t="shared" ref="D17:K17" si="7">(D16*D8/D10)</f>
        <v>26.982289230902378</v>
      </c>
      <c r="E17" s="31">
        <f t="shared" si="7"/>
        <v>38.086227667836546</v>
      </c>
      <c r="F17" s="31">
        <f t="shared" si="7"/>
        <v>21.409502013066419</v>
      </c>
      <c r="G17" s="31">
        <f t="shared" si="7"/>
        <v>24.134139384357006</v>
      </c>
      <c r="H17" s="31">
        <f t="shared" si="7"/>
        <v>21.462917175754122</v>
      </c>
      <c r="I17" s="31">
        <f t="shared" si="7"/>
        <v>38.203111824451909</v>
      </c>
      <c r="J17" s="31">
        <f t="shared" si="7"/>
        <v>34.992918112069866</v>
      </c>
      <c r="K17" s="31">
        <f t="shared" si="7"/>
        <v>23.965652590281557</v>
      </c>
      <c r="L17" s="137">
        <f t="shared" ref="L17" si="8">(L16*L8/L10)</f>
        <v>28.153835662249762</v>
      </c>
      <c r="M17" s="21"/>
    </row>
    <row r="18" spans="1:13" s="20" customFormat="1" ht="15">
      <c r="A18" s="136" t="s">
        <v>46</v>
      </c>
      <c r="B18" s="103">
        <f>B7*'Distribution Keys'!$E$17</f>
        <v>38.59882372500001</v>
      </c>
      <c r="C18" s="103">
        <f>C7*'Distribution Keys'!$E$17</f>
        <v>17.553921000000003</v>
      </c>
      <c r="D18" s="103">
        <f>D7*'Distribution Keys'!$E$17</f>
        <v>27.344278500000005</v>
      </c>
      <c r="E18" s="103">
        <f>E7*'Distribution Keys'!$E$17</f>
        <v>17.050323675000005</v>
      </c>
      <c r="F18" s="103">
        <f>F7*'Distribution Keys'!$E$17</f>
        <v>26.842142250000002</v>
      </c>
      <c r="G18" s="103">
        <f>G7*'Distribution Keys'!$E$17</f>
        <v>4.3155015750000016</v>
      </c>
      <c r="H18" s="103">
        <f>H7*'Distribution Keys'!$E$17</f>
        <v>12.9815763</v>
      </c>
      <c r="I18" s="103">
        <f>I7*'Distribution Keys'!$E$17</f>
        <v>7.1708348250000009</v>
      </c>
      <c r="J18" s="103">
        <f>J7*'Distribution Keys'!$E$17</f>
        <v>12.952106475000003</v>
      </c>
      <c r="K18" s="103">
        <f>K7*'Distribution Keys'!$E$17</f>
        <v>7.3221398250000025</v>
      </c>
      <c r="L18" s="154">
        <f>L7*'Distribution Keys'!$E$17</f>
        <v>7.5943848750000011</v>
      </c>
      <c r="M18" s="21"/>
    </row>
    <row r="19" spans="1:13" s="20" customFormat="1">
      <c r="A19" s="138" t="s">
        <v>19</v>
      </c>
      <c r="B19" s="101">
        <f>B17+B18</f>
        <v>79.859779939959253</v>
      </c>
      <c r="C19" s="102">
        <f t="shared" ref="C19:G19" si="9">C17+C18</f>
        <v>70.869888907009994</v>
      </c>
      <c r="D19" s="102">
        <f t="shared" si="9"/>
        <v>54.326567730902383</v>
      </c>
      <c r="E19" s="102">
        <f t="shared" si="9"/>
        <v>55.136551342836555</v>
      </c>
      <c r="F19" s="102">
        <f t="shared" si="9"/>
        <v>48.251644263066424</v>
      </c>
      <c r="G19" s="102">
        <f t="shared" si="9"/>
        <v>28.449640959357009</v>
      </c>
      <c r="H19" s="102">
        <f>H17+H18</f>
        <v>34.444493475754122</v>
      </c>
      <c r="I19" s="102">
        <f t="shared" ref="I19:J19" si="10">I17+I18</f>
        <v>45.373946649451909</v>
      </c>
      <c r="J19" s="102">
        <f t="shared" si="10"/>
        <v>47.945024587069867</v>
      </c>
      <c r="K19" s="102">
        <f t="shared" ref="K19:L19" si="11">K17+K18</f>
        <v>31.287792415281558</v>
      </c>
      <c r="L19" s="139">
        <f t="shared" si="11"/>
        <v>35.748220537249765</v>
      </c>
      <c r="M19" s="22"/>
    </row>
    <row r="20" spans="1:13" s="20" customFormat="1" ht="15">
      <c r="A20" s="132" t="s">
        <v>21</v>
      </c>
      <c r="B20" s="29">
        <v>81</v>
      </c>
      <c r="C20" s="28">
        <f>39+15</f>
        <v>54</v>
      </c>
      <c r="D20" s="28">
        <v>43.8</v>
      </c>
      <c r="E20" s="28">
        <v>66</v>
      </c>
      <c r="F20" s="28">
        <v>44.148000000000003</v>
      </c>
      <c r="G20" s="28">
        <v>24.366</v>
      </c>
      <c r="H20" s="28">
        <v>41.54</v>
      </c>
      <c r="I20" s="28">
        <v>43.271999999999998</v>
      </c>
      <c r="J20" s="28">
        <v>70.5</v>
      </c>
      <c r="K20" s="28">
        <v>43.65</v>
      </c>
      <c r="L20" s="157">
        <v>47.552</v>
      </c>
    </row>
    <row r="21" spans="1:13" s="20" customFormat="1">
      <c r="A21" s="145" t="s">
        <v>22</v>
      </c>
      <c r="B21" s="146">
        <f t="shared" ref="B21:K21" si="12">B19/B20</f>
        <v>0.98592320913529941</v>
      </c>
      <c r="C21" s="147">
        <f t="shared" si="12"/>
        <v>1.3124053501298147</v>
      </c>
      <c r="D21" s="147">
        <f t="shared" si="12"/>
        <v>1.2403325965959449</v>
      </c>
      <c r="E21" s="147">
        <f>E19/E20</f>
        <v>0.83540229307328118</v>
      </c>
      <c r="F21" s="147">
        <f t="shared" si="12"/>
        <v>1.0929519856633692</v>
      </c>
      <c r="G21" s="147">
        <f t="shared" si="12"/>
        <v>1.1675958696280477</v>
      </c>
      <c r="H21" s="147">
        <f t="shared" si="12"/>
        <v>0.82918857669124035</v>
      </c>
      <c r="I21" s="147">
        <f t="shared" si="12"/>
        <v>1.0485752137514308</v>
      </c>
      <c r="J21" s="147">
        <f t="shared" si="12"/>
        <v>0.68007127073857965</v>
      </c>
      <c r="K21" s="147">
        <f t="shared" si="12"/>
        <v>0.71678791329396474</v>
      </c>
      <c r="L21" s="149">
        <f t="shared" ref="L21" si="13">L19/L20</f>
        <v>0.75177112502628207</v>
      </c>
      <c r="M21" s="21"/>
    </row>
    <row r="22" spans="1:13" s="24" customFormat="1" ht="15">
      <c r="A22" s="153" t="s">
        <v>47</v>
      </c>
      <c r="B22" s="141">
        <v>15.9</v>
      </c>
      <c r="C22" s="142">
        <v>7.1</v>
      </c>
      <c r="D22" s="142"/>
      <c r="E22" s="142">
        <v>10.199999999999999</v>
      </c>
      <c r="F22" s="142"/>
      <c r="G22" s="142">
        <v>4.5999999999999996</v>
      </c>
      <c r="H22" s="142">
        <v>1</v>
      </c>
      <c r="I22" s="142">
        <v>6.9</v>
      </c>
      <c r="J22" s="142">
        <v>10</v>
      </c>
      <c r="K22" s="142">
        <v>10.199999999999999</v>
      </c>
      <c r="L22" s="144">
        <v>18.600000000000001</v>
      </c>
    </row>
    <row r="23" spans="1:13">
      <c r="B23" s="27"/>
    </row>
    <row r="24" spans="1:13">
      <c r="B24" s="27"/>
    </row>
  </sheetData>
  <sheetProtection algorithmName="SHA-512" hashValue="KHg6glXU+PmmEdlWaY66h3Bxkg+iKMCcc4Ob9JWRaIw5/c+SekiBHBqoxAFCaa29jRQgGe7VEwc8m6cpxLWVrw==" saltValue="HGih7J4nMSqb+erlpS9uVg==" spinCount="100000" sheet="1" objects="1" scenarios="1" selectLockedCells="1" selectUnlockedCells="1"/>
  <pageMargins left="0.7" right="0.7" top="0.75" bottom="0.75" header="0.3" footer="0.3"/>
  <pageSetup paperSize="9" orientation="portrait" r:id="rId1"/>
  <ignoredErrors>
    <ignoredError sqref="C15:D15 F15:J15"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F7FFB-3E0E-4A98-8843-54453B118A87}">
  <dimension ref="A1:O19"/>
  <sheetViews>
    <sheetView showGridLines="0" zoomScale="88" zoomScaleNormal="90" workbookViewId="0">
      <pane xSplit="1" topLeftCell="B1" activePane="topRight" state="frozen"/>
      <selection pane="topRight" activeCell="H29" sqref="H29"/>
    </sheetView>
  </sheetViews>
  <sheetFormatPr baseColWidth="10" defaultColWidth="10.875" defaultRowHeight="15"/>
  <cols>
    <col min="1" max="1" width="32.5" style="20" bestFit="1" customWidth="1"/>
    <col min="2" max="2" width="12" style="20" customWidth="1"/>
    <col min="3" max="3" width="11.875" style="20" customWidth="1"/>
    <col min="4" max="4" width="10" style="20" customWidth="1"/>
    <col min="5" max="5" width="12.5" style="20" customWidth="1"/>
    <col min="6" max="6" width="11" style="20" customWidth="1"/>
    <col min="7" max="7" width="10.875" style="20" customWidth="1"/>
    <col min="8" max="8" width="16" style="20" customWidth="1"/>
    <col min="9" max="9" width="14.5" style="20" customWidth="1"/>
    <col min="10" max="10" width="11" style="20" customWidth="1"/>
    <col min="11" max="11" width="10.375" style="20" customWidth="1"/>
    <col min="12" max="12" width="11.375" style="20" customWidth="1"/>
    <col min="13" max="13" width="12" style="20" customWidth="1"/>
    <col min="14" max="14" width="10.875" style="20"/>
    <col min="15" max="15" width="9.5" style="20" customWidth="1"/>
    <col min="16" max="16384" width="10.875" style="20"/>
  </cols>
  <sheetData>
    <row r="1" spans="1:15">
      <c r="B1" s="22"/>
      <c r="C1" s="23"/>
      <c r="D1" s="22"/>
      <c r="G1" s="22"/>
      <c r="K1" s="22"/>
      <c r="L1" s="22"/>
    </row>
    <row r="2" spans="1:15" ht="30">
      <c r="A2" s="215" t="s">
        <v>48</v>
      </c>
      <c r="B2" s="236" t="s">
        <v>49</v>
      </c>
      <c r="C2" s="236" t="s">
        <v>50</v>
      </c>
      <c r="D2" s="236" t="s">
        <v>51</v>
      </c>
      <c r="E2" s="236" t="s">
        <v>52</v>
      </c>
      <c r="F2" s="237" t="s">
        <v>53</v>
      </c>
      <c r="G2" s="237" t="s">
        <v>54</v>
      </c>
      <c r="H2" s="355" t="s">
        <v>55</v>
      </c>
      <c r="I2" s="237" t="s">
        <v>56</v>
      </c>
      <c r="J2" s="130" t="s">
        <v>57</v>
      </c>
      <c r="K2" s="130" t="s">
        <v>58</v>
      </c>
      <c r="L2" s="130" t="s">
        <v>59</v>
      </c>
      <c r="M2" s="130" t="s">
        <v>60</v>
      </c>
      <c r="N2" s="131" t="s">
        <v>61</v>
      </c>
      <c r="O2" s="392" t="s">
        <v>12</v>
      </c>
    </row>
    <row r="3" spans="1:15">
      <c r="A3" s="155" t="s">
        <v>13</v>
      </c>
      <c r="B3" s="356">
        <f>'INT Zone Details'!B3</f>
        <v>2715.152</v>
      </c>
      <c r="C3" s="356">
        <f>'INT Zone Details'!C3</f>
        <v>1454.3737244897959</v>
      </c>
      <c r="D3" s="356">
        <f>'INT Zone Details'!D3</f>
        <v>972.18299999999999</v>
      </c>
      <c r="E3" s="356">
        <f>'INT Zone Details'!E3</f>
        <v>792.04728370221324</v>
      </c>
      <c r="F3" s="356">
        <f>'INT Zone Details'!F3</f>
        <v>1951.1579999999999</v>
      </c>
      <c r="G3" s="356">
        <f>'INT Zone Details'!G3</f>
        <v>2687.3789999999999</v>
      </c>
      <c r="H3" s="356">
        <f>'INT Zone Details'!H3</f>
        <v>2434.0790000000002</v>
      </c>
      <c r="I3" s="356">
        <f>'INT Zone Details'!I3</f>
        <v>1928</v>
      </c>
      <c r="J3" s="416">
        <f>'INT Zone Details'!J3</f>
        <v>4357.3713458755428</v>
      </c>
      <c r="K3" s="416">
        <f>'INT Zone Details'!L3</f>
        <v>3681.0797395079594</v>
      </c>
      <c r="L3" s="416">
        <f>'INT Zone Details'!N3</f>
        <v>3600.3311143270626</v>
      </c>
      <c r="M3" s="416">
        <f>'INT Zone Details'!P3</f>
        <v>3295.1872648335748</v>
      </c>
      <c r="N3" s="405">
        <f>'INT Zone Details'!R3</f>
        <v>2854.2859239688833</v>
      </c>
      <c r="O3" s="357">
        <f t="shared" ref="O3:O9" si="0">SUM(B3:N3)</f>
        <v>32722.627396705033</v>
      </c>
    </row>
    <row r="4" spans="1:15">
      <c r="A4" s="155" t="s">
        <v>14</v>
      </c>
      <c r="B4" s="356">
        <f>'INT Zone Details'!B7</f>
        <v>893.88175000000012</v>
      </c>
      <c r="C4" s="356">
        <f>'INT Zone Details'!C7</f>
        <v>650.55404974489795</v>
      </c>
      <c r="D4" s="356">
        <f>'INT Zone Details'!D7</f>
        <v>461.18925000000002</v>
      </c>
      <c r="E4" s="356">
        <f>'INT Zone Details'!E7</f>
        <v>292.29225352112672</v>
      </c>
      <c r="F4" s="356">
        <f>'INT Zone Details'!F7</f>
        <v>841.6362499999999</v>
      </c>
      <c r="G4" s="356">
        <f>'INT Zone Details'!G7</f>
        <v>1104.8231250000001</v>
      </c>
      <c r="H4" s="356">
        <f>'INT Zone Details'!H7</f>
        <v>911.94299999999998</v>
      </c>
      <c r="I4" s="356">
        <f>'INT Zone Details'!I7</f>
        <v>640.18662500000005</v>
      </c>
      <c r="J4" s="356">
        <f>'INT Zone Details'!J7</f>
        <v>580.6448986975397</v>
      </c>
      <c r="K4" s="356">
        <f>'INT Zone Details'!L7</f>
        <v>489.58804269175113</v>
      </c>
      <c r="L4" s="356">
        <f>'INT Zone Details'!N7</f>
        <v>680.62027858176555</v>
      </c>
      <c r="M4" s="356">
        <f>'INT Zone Details'!P7</f>
        <v>487.51436324167861</v>
      </c>
      <c r="N4" s="358">
        <f>'INT Zone Details'!R7</f>
        <v>824.83625055041796</v>
      </c>
      <c r="O4" s="357">
        <f t="shared" si="0"/>
        <v>8859.7101370291784</v>
      </c>
    </row>
    <row r="5" spans="1:15">
      <c r="A5" s="155" t="s">
        <v>15</v>
      </c>
      <c r="B5" s="356">
        <f>'INT Zone Details'!B8</f>
        <v>1105.9459999999999</v>
      </c>
      <c r="C5" s="356">
        <f>'INT Zone Details'!C8</f>
        <v>432.54464285714283</v>
      </c>
      <c r="D5" s="356">
        <f>'INT Zone Details'!D8</f>
        <v>339.233</v>
      </c>
      <c r="E5" s="356">
        <f>'INT Zone Details'!E8</f>
        <v>298.57042253521126</v>
      </c>
      <c r="F5" s="356">
        <f>'INT Zone Details'!F8</f>
        <v>686.7</v>
      </c>
      <c r="G5" s="356">
        <f>'INT Zone Details'!G8</f>
        <v>946.64599999999996</v>
      </c>
      <c r="H5" s="356">
        <f>'INT Zone Details'!H8</f>
        <v>974.01</v>
      </c>
      <c r="I5" s="356">
        <f>'INT Zone Details'!I8</f>
        <v>977</v>
      </c>
      <c r="J5" s="356">
        <f>'INT Zone Details'!J8</f>
        <v>2729.4422575976846</v>
      </c>
      <c r="K5" s="356">
        <f>'INT Zone Details'!L8</f>
        <v>2402.6063675832129</v>
      </c>
      <c r="L5" s="356">
        <f>'INT Zone Details'!N8</f>
        <v>1933.4570188133139</v>
      </c>
      <c r="M5" s="356">
        <f>'INT Zone Details'!P8</f>
        <v>1844.2004341534009</v>
      </c>
      <c r="N5" s="358">
        <f>'INT Zone Details'!R8</f>
        <v>1074.2422574489945</v>
      </c>
      <c r="O5" s="357">
        <f t="shared" si="0"/>
        <v>15744.598400988962</v>
      </c>
    </row>
    <row r="6" spans="1:15">
      <c r="A6" s="155" t="s">
        <v>16</v>
      </c>
      <c r="B6" s="356">
        <f>'INT Zone Details'!B9</f>
        <v>715.32424999999989</v>
      </c>
      <c r="C6" s="356">
        <f>'INT Zone Details'!C9</f>
        <v>371.27503188775512</v>
      </c>
      <c r="D6" s="356">
        <f>'INT Zone Details'!D9</f>
        <v>171.76075</v>
      </c>
      <c r="E6" s="356">
        <f>'INT Zone Details'!E9</f>
        <v>200.89185110663988</v>
      </c>
      <c r="F6" s="356">
        <f>'INT Zone Details'!F9</f>
        <v>422.82175000000001</v>
      </c>
      <c r="G6" s="356">
        <f>'INT Zone Details'!G9</f>
        <v>635.90987499999994</v>
      </c>
      <c r="H6" s="356">
        <f>'INT Zone Details'!H9</f>
        <v>548.12599999999998</v>
      </c>
      <c r="I6" s="356">
        <f>'INT Zone Details'!I9</f>
        <v>308.81337500000001</v>
      </c>
      <c r="J6" s="356">
        <f>'INT Zone Details'!J9</f>
        <v>1046.5268632416787</v>
      </c>
      <c r="K6" s="356">
        <f>'INT Zone Details'!L9</f>
        <v>788.57852749638209</v>
      </c>
      <c r="L6" s="356">
        <f>'INT Zone Details'!N9</f>
        <v>986.3923118668597</v>
      </c>
      <c r="M6" s="356">
        <f>'INT Zone Details'!P9</f>
        <v>963.09649059334299</v>
      </c>
      <c r="N6" s="395">
        <f>'INT Zone Details'!R9</f>
        <v>955.12485322178202</v>
      </c>
      <c r="O6" s="357">
        <f t="shared" si="0"/>
        <v>8114.6419294144416</v>
      </c>
    </row>
    <row r="7" spans="1:15">
      <c r="A7" s="155" t="s">
        <v>17</v>
      </c>
      <c r="B7" s="356">
        <f>'INT Zone Details'!B17</f>
        <v>44.893162119433185</v>
      </c>
      <c r="C7" s="356">
        <f>'INT Zone Details'!C17</f>
        <v>26.10594776501565</v>
      </c>
      <c r="D7" s="356">
        <f>'INT Zone Details'!D17</f>
        <v>8.6088970440748938</v>
      </c>
      <c r="E7" s="356">
        <f>'INT Zone Details'!E17</f>
        <v>16.013984338863395</v>
      </c>
      <c r="F7" s="356">
        <f>'INT Zone Details'!F17</f>
        <v>89.991394834936159</v>
      </c>
      <c r="G7" s="356">
        <f>'INT Zone Details'!G17</f>
        <v>125.2811604058562</v>
      </c>
      <c r="H7" s="356">
        <f>'INT Zone Details'!H17</f>
        <v>82.865057118068265</v>
      </c>
      <c r="I7" s="356">
        <f>'INT Zone Details'!I17</f>
        <v>449.57570229878468</v>
      </c>
      <c r="J7" s="356">
        <f>'INT Zone Details'!J7</f>
        <v>580.6448986975397</v>
      </c>
      <c r="K7" s="356">
        <f>'INT Zone Details'!L17</f>
        <v>280.90676167101697</v>
      </c>
      <c r="L7" s="356">
        <f>'INT Zone Details'!N17</f>
        <v>205.93568043460209</v>
      </c>
      <c r="M7" s="356">
        <f>'INT Zone Details'!P17</f>
        <v>160.27886311601753</v>
      </c>
      <c r="N7" s="358">
        <f>'INT Zone Details'!R17</f>
        <v>80.104791662236337</v>
      </c>
      <c r="O7" s="357">
        <f t="shared" si="0"/>
        <v>2151.206301506445</v>
      </c>
    </row>
    <row r="8" spans="1:15">
      <c r="A8" s="155" t="s">
        <v>18</v>
      </c>
      <c r="B8" s="356">
        <f>'INT Zone Details'!B18</f>
        <v>41.297336850000008</v>
      </c>
      <c r="C8" s="356">
        <f>'INT Zone Details'!C18</f>
        <v>30.055597098214289</v>
      </c>
      <c r="D8" s="356">
        <f>'INT Zone Details'!D18</f>
        <v>21.306943350000005</v>
      </c>
      <c r="E8" s="356">
        <f>'INT Zone Details'!E18</f>
        <v>13.503902112676057</v>
      </c>
      <c r="F8" s="356">
        <f>'INT Zone Details'!F18</f>
        <v>38.88359475</v>
      </c>
      <c r="G8" s="356">
        <f>'INT Zone Details'!G18</f>
        <v>51.042828375000013</v>
      </c>
      <c r="H8" s="356">
        <f>'INT Zone Details'!H18</f>
        <v>42.131766600000006</v>
      </c>
      <c r="I8" s="356">
        <f>'INT Zone Details'!I18</f>
        <v>29.576622075000007</v>
      </c>
      <c r="J8" s="356">
        <f>'INT Zone Details'!J18</f>
        <v>25.096251121072598</v>
      </c>
      <c r="K8" s="356">
        <f>'INT Zone Details'!L18</f>
        <v>128.01370734281576</v>
      </c>
      <c r="L8" s="356">
        <f>'INT Zone Details'!N18</f>
        <v>31.444656870477569</v>
      </c>
      <c r="M8" s="356">
        <f>'INT Zone Details'!P18</f>
        <v>23.412781020260493</v>
      </c>
      <c r="N8" s="358">
        <f>'INT Zone Details'!R18</f>
        <v>38.107434775429311</v>
      </c>
      <c r="O8" s="357">
        <f t="shared" si="0"/>
        <v>513.87342234094604</v>
      </c>
    </row>
    <row r="9" spans="1:15" ht="15.75">
      <c r="A9" s="431" t="s">
        <v>19</v>
      </c>
      <c r="B9" s="432">
        <f>'INT Zone Details'!B19</f>
        <v>86.190498969433193</v>
      </c>
      <c r="C9" s="432">
        <f>'INT Zone Details'!C19</f>
        <v>56.161544863229935</v>
      </c>
      <c r="D9" s="432">
        <f>'INT Zone Details'!D19</f>
        <v>29.915840394074898</v>
      </c>
      <c r="E9" s="432">
        <f>'INT Zone Details'!E19</f>
        <v>29.517886451539454</v>
      </c>
      <c r="F9" s="432">
        <f>'INT Zone Details'!F19</f>
        <v>128.87498958493615</v>
      </c>
      <c r="G9" s="432">
        <f>'INT Zone Details'!G19</f>
        <v>176.32398878085621</v>
      </c>
      <c r="H9" s="432">
        <f>'INT Zone Details'!H19</f>
        <v>124.99682371806827</v>
      </c>
      <c r="I9" s="432">
        <f>'INT Zone Details'!I19</f>
        <v>479.15232437378467</v>
      </c>
      <c r="J9" s="432">
        <f>'INT Zone Details'!J19</f>
        <v>195.36019449153582</v>
      </c>
      <c r="K9" s="432">
        <f>'INT Zone Details'!L19</f>
        <v>408.92046901383276</v>
      </c>
      <c r="L9" s="432">
        <f>'INT Zone Details'!N19</f>
        <v>237.38033730507965</v>
      </c>
      <c r="M9" s="432">
        <f>'INT Zone Details'!P19</f>
        <v>183.69164413627806</v>
      </c>
      <c r="N9" s="433">
        <f>'INT Zone Details'!R19</f>
        <v>118.21222643766565</v>
      </c>
      <c r="O9" s="433">
        <f t="shared" si="0"/>
        <v>2254.6987685203148</v>
      </c>
    </row>
    <row r="10" spans="1:15">
      <c r="A10" s="155" t="s">
        <v>21</v>
      </c>
      <c r="B10" s="356">
        <f>'INT Zone Details'!B20</f>
        <v>123.96599999999999</v>
      </c>
      <c r="C10" s="356">
        <f>'INT Zone Details'!C20</f>
        <v>52.04081632653061</v>
      </c>
      <c r="D10" s="356">
        <f>'INT Zone Details'!D20</f>
        <v>35.582000000000001</v>
      </c>
      <c r="E10" s="356">
        <f>'INT Zone Details'!E20</f>
        <v>36.995975855130787</v>
      </c>
      <c r="F10" s="356">
        <f>'INT Zone Details'!F20</f>
        <v>137.798</v>
      </c>
      <c r="G10" s="356">
        <f>'INT Zone Details'!G20</f>
        <v>187.75299999999999</v>
      </c>
      <c r="H10" s="356">
        <f>'INT Zone Details'!H20</f>
        <v>166.76</v>
      </c>
      <c r="I10" s="356">
        <f>'INT Zone Details'!I20</f>
        <v>158</v>
      </c>
      <c r="J10" s="356">
        <f>'INT Zone Details'!J20</f>
        <v>389.58075253256146</v>
      </c>
      <c r="K10" s="356">
        <f>'INT Zone Details'!L20</f>
        <v>323.46266280752531</v>
      </c>
      <c r="L10" s="356">
        <f>'INT Zone Details'!N20</f>
        <v>251.89348769898697</v>
      </c>
      <c r="M10" s="356">
        <f>'INT Zone Details'!P20</f>
        <v>234.52431259044863</v>
      </c>
      <c r="N10" s="358">
        <f>'INT Zone Details'!R20</f>
        <v>131.36650521062674</v>
      </c>
      <c r="O10" s="358">
        <f>SUM(B10:N10)</f>
        <v>2229.7235130218105</v>
      </c>
    </row>
    <row r="11" spans="1:15">
      <c r="A11" s="156" t="s">
        <v>22</v>
      </c>
      <c r="B11" s="359">
        <f>'INT Zone Details'!B21</f>
        <v>0.69527530911244373</v>
      </c>
      <c r="C11" s="359">
        <f>'INT Zone Details'!C21</f>
        <v>1.0791826267836342</v>
      </c>
      <c r="D11" s="359">
        <f>'INT Zone Details'!D21</f>
        <v>0.84075769754580676</v>
      </c>
      <c r="E11" s="359">
        <f>'INT Zone Details'!E21</f>
        <v>0.79786749151112779</v>
      </c>
      <c r="F11" s="359">
        <f>'INT Zone Details'!F21</f>
        <v>0.9352457189867498</v>
      </c>
      <c r="G11" s="359">
        <f>'INT Zone Details'!G21</f>
        <v>0.93912741091144336</v>
      </c>
      <c r="H11" s="359">
        <f>'INT Zone Details'!H21</f>
        <v>0.74956118804310556</v>
      </c>
      <c r="I11" s="359">
        <f>'INT Zone Details'!I21</f>
        <v>3.0326096479353462</v>
      </c>
      <c r="J11" s="359">
        <f>'INT Zone Details'!J21</f>
        <v>0.50146264470600987</v>
      </c>
      <c r="K11" s="359">
        <f>'INT Zone Details'!M21</f>
        <v>1.2641968178477483</v>
      </c>
      <c r="L11" s="359">
        <f>'INT Zone Details'!N21</f>
        <v>0.94238378083338714</v>
      </c>
      <c r="M11" s="359">
        <f>'INT Zone Details'!P21</f>
        <v>0.78325203091868778</v>
      </c>
      <c r="N11" s="381">
        <f>'INT Zone Details'!R21</f>
        <v>0.89986580862549281</v>
      </c>
      <c r="O11" s="360">
        <f>O9/O10</f>
        <v>1.0112010549077706</v>
      </c>
    </row>
    <row r="12" spans="1:15">
      <c r="B12" s="22"/>
      <c r="C12" s="22"/>
      <c r="D12" s="404"/>
      <c r="E12" s="404"/>
      <c r="F12" s="404"/>
      <c r="G12" s="404"/>
      <c r="H12" s="22"/>
      <c r="I12" s="404"/>
      <c r="J12" s="22"/>
      <c r="K12" s="404"/>
      <c r="L12" s="404"/>
      <c r="M12" s="404"/>
      <c r="N12" s="404"/>
    </row>
    <row r="13" spans="1:15">
      <c r="B13" s="22"/>
      <c r="C13" s="22"/>
      <c r="D13" s="22"/>
      <c r="E13" s="22"/>
      <c r="F13" s="22"/>
      <c r="G13" s="22"/>
      <c r="H13" s="22"/>
      <c r="I13" s="22"/>
      <c r="J13" s="22"/>
      <c r="K13" s="22"/>
      <c r="L13" s="22"/>
      <c r="M13" s="404"/>
      <c r="N13" s="404"/>
      <c r="O13" s="404"/>
    </row>
    <row r="19" spans="1:2">
      <c r="A19" s="20" t="s">
        <v>23</v>
      </c>
      <c r="B19" s="20">
        <v>1.1200000000000001</v>
      </c>
    </row>
  </sheetData>
  <sheetProtection algorithmName="SHA-512" hashValue="GW3eSqlOxcqyvATa8SWpjdASI/o3u9k5klV/M8q7GPrD0GsIQBqYZvLFe7ygE1Fb5VnRVv6UEt3asumeCoGNHw==" saltValue="IfyKpfKPv80ZJhZv3BHqMA==" spinCount="100000" sheet="1" objects="1" scenarios="1" selectLockedCells="1" selectUnlockedCells="1"/>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4E2EA-559D-A144-A0B7-2207CE38833F}">
  <dimension ref="A1:U30"/>
  <sheetViews>
    <sheetView showGridLines="0" zoomScale="80" zoomScaleNormal="80" workbookViewId="0">
      <pane xSplit="1" topLeftCell="J1" activePane="topRight" state="frozen"/>
      <selection activeCell="H29" sqref="H29"/>
      <selection pane="topRight" activeCell="H29" sqref="H29"/>
    </sheetView>
  </sheetViews>
  <sheetFormatPr baseColWidth="10" defaultColWidth="10.875" defaultRowHeight="15"/>
  <cols>
    <col min="1" max="1" width="50.5" style="20" customWidth="1"/>
    <col min="2" max="2" width="11.875" style="20" bestFit="1" customWidth="1"/>
    <col min="3" max="5" width="12.875" style="20" customWidth="1"/>
    <col min="6" max="6" width="11.5" style="20" customWidth="1"/>
    <col min="7" max="7" width="11.375" style="20" customWidth="1"/>
    <col min="8" max="8" width="14" style="20" customWidth="1"/>
    <col min="9" max="9" width="15" style="20" customWidth="1"/>
    <col min="10" max="10" width="10.875" style="20" customWidth="1"/>
    <col min="11" max="11" width="17.5" style="20" customWidth="1"/>
    <col min="12" max="12" width="10.875" style="20" customWidth="1"/>
    <col min="13" max="13" width="18" style="20" customWidth="1"/>
    <col min="14" max="14" width="10.875" style="20" customWidth="1"/>
    <col min="15" max="15" width="14.5" style="20" customWidth="1"/>
    <col min="16" max="16" width="10.875" style="20" customWidth="1"/>
    <col min="17" max="17" width="14.125" style="20" customWidth="1"/>
    <col min="18" max="18" width="10.875" style="20" customWidth="1"/>
    <col min="19" max="19" width="13" style="20" bestFit="1" customWidth="1"/>
    <col min="20" max="20" width="14" style="20" bestFit="1" customWidth="1"/>
    <col min="21" max="21" width="12" style="20" bestFit="1" customWidth="1"/>
    <col min="22" max="16379" width="10.875" style="20"/>
    <col min="16380" max="16384" width="10.875" style="20" bestFit="1" customWidth="1"/>
  </cols>
  <sheetData>
    <row r="1" spans="1:21" s="127" customFormat="1">
      <c r="A1" s="330"/>
      <c r="B1" s="331" t="s">
        <v>62</v>
      </c>
      <c r="C1" s="331" t="s">
        <v>62</v>
      </c>
      <c r="D1" s="331" t="s">
        <v>62</v>
      </c>
      <c r="E1" s="331" t="s">
        <v>62</v>
      </c>
      <c r="F1" s="331" t="s">
        <v>62</v>
      </c>
      <c r="G1" s="331" t="s">
        <v>62</v>
      </c>
      <c r="H1" s="331" t="s">
        <v>62</v>
      </c>
      <c r="I1" s="331" t="s">
        <v>62</v>
      </c>
      <c r="J1" s="331" t="s">
        <v>62</v>
      </c>
      <c r="K1" s="331" t="s">
        <v>63</v>
      </c>
      <c r="L1" s="331" t="s">
        <v>62</v>
      </c>
      <c r="M1" s="331" t="s">
        <v>63</v>
      </c>
      <c r="N1" s="332" t="s">
        <v>62</v>
      </c>
      <c r="O1" s="332" t="s">
        <v>64</v>
      </c>
      <c r="P1" s="332" t="s">
        <v>62</v>
      </c>
      <c r="Q1" s="332" t="s">
        <v>64</v>
      </c>
      <c r="R1" s="333" t="s">
        <v>62</v>
      </c>
    </row>
    <row r="2" spans="1:21" ht="36.950000000000003" customHeight="1">
      <c r="A2" s="215" t="s">
        <v>65</v>
      </c>
      <c r="B2" s="236" t="s">
        <v>49</v>
      </c>
      <c r="C2" s="236" t="s">
        <v>50</v>
      </c>
      <c r="D2" s="236" t="s">
        <v>51</v>
      </c>
      <c r="E2" s="236" t="s">
        <v>52</v>
      </c>
      <c r="F2" s="237" t="s">
        <v>53</v>
      </c>
      <c r="G2" s="237" t="s">
        <v>54</v>
      </c>
      <c r="H2" s="355" t="s">
        <v>66</v>
      </c>
      <c r="I2" s="355" t="s">
        <v>56</v>
      </c>
      <c r="J2" s="334" t="s">
        <v>57</v>
      </c>
      <c r="K2" s="334" t="s">
        <v>57</v>
      </c>
      <c r="L2" s="334" t="s">
        <v>58</v>
      </c>
      <c r="M2" s="334" t="s">
        <v>58</v>
      </c>
      <c r="N2" s="334" t="s">
        <v>59</v>
      </c>
      <c r="O2" s="334" t="s">
        <v>59</v>
      </c>
      <c r="P2" s="334" t="s">
        <v>60</v>
      </c>
      <c r="Q2" s="334" t="s">
        <v>60</v>
      </c>
      <c r="R2" s="131" t="s">
        <v>61</v>
      </c>
    </row>
    <row r="3" spans="1:21">
      <c r="A3" s="132" t="s">
        <v>30</v>
      </c>
      <c r="B3" s="427">
        <v>2715.152</v>
      </c>
      <c r="C3" s="427">
        <f>1140.229/B29</f>
        <v>1454.3737244897959</v>
      </c>
      <c r="D3" s="427">
        <v>972.18299999999999</v>
      </c>
      <c r="E3" s="427">
        <f>787.295/B28</f>
        <v>792.04728370221324</v>
      </c>
      <c r="F3" s="427">
        <v>1951.1579999999999</v>
      </c>
      <c r="G3" s="427">
        <v>2687.3789999999999</v>
      </c>
      <c r="H3" s="409">
        <v>2434.0790000000002</v>
      </c>
      <c r="I3" s="427">
        <v>1928</v>
      </c>
      <c r="J3" s="427">
        <f>K3/$B$26/1000</f>
        <v>4357.3713458755428</v>
      </c>
      <c r="K3" s="427">
        <v>30109436</v>
      </c>
      <c r="L3" s="427">
        <f>M3/$B$26/1000</f>
        <v>3681.0797395079594</v>
      </c>
      <c r="M3" s="406">
        <v>25436261</v>
      </c>
      <c r="N3" s="406">
        <f>O3/$B$26/1000</f>
        <v>3600.3311143270626</v>
      </c>
      <c r="O3" s="406">
        <v>24878288</v>
      </c>
      <c r="P3" s="406">
        <f>Q3/$B$26/1000</f>
        <v>3295.1872648335748</v>
      </c>
      <c r="Q3" s="408">
        <v>22769744</v>
      </c>
      <c r="R3" s="428">
        <f>311.14*1000/B27</f>
        <v>2854.2859239688833</v>
      </c>
    </row>
    <row r="4" spans="1:21">
      <c r="A4" s="132" t="s">
        <v>31</v>
      </c>
      <c r="B4" s="427">
        <v>154.09899999999999</v>
      </c>
      <c r="C4" s="427">
        <f>(150.258+83.256)/B29</f>
        <v>297.84948979591837</v>
      </c>
      <c r="D4" s="427">
        <f>107.068</f>
        <v>107.068</v>
      </c>
      <c r="E4" s="427">
        <f>(101.879+0.741)/B28</f>
        <v>103.23943661971832</v>
      </c>
      <c r="F4" s="427">
        <f>23.967+169.952</f>
        <v>193.91899999999998</v>
      </c>
      <c r="G4" s="427">
        <f>21.704+241.927</f>
        <v>263.63099999999997</v>
      </c>
      <c r="H4" s="427">
        <v>161.56</v>
      </c>
      <c r="I4" s="427">
        <v>141</v>
      </c>
      <c r="J4" s="427">
        <f>K4/$B$26/1000</f>
        <v>480.16150506512304</v>
      </c>
      <c r="K4" s="427">
        <v>3317916</v>
      </c>
      <c r="L4" s="427">
        <f>M4/$B$26/1000</f>
        <v>379.30680173661364</v>
      </c>
      <c r="M4" s="406">
        <v>2621010</v>
      </c>
      <c r="N4" s="406">
        <f>O4/$B$26/1000</f>
        <v>390.72286541244574</v>
      </c>
      <c r="O4" s="406">
        <v>2699895</v>
      </c>
      <c r="P4" s="406">
        <f>Q4/$B$26/1000</f>
        <v>300.84066570188133</v>
      </c>
      <c r="Q4" s="408">
        <v>2078809</v>
      </c>
      <c r="R4" s="428">
        <f>74.21*1000/B27</f>
        <v>680.77572288272427</v>
      </c>
    </row>
    <row r="5" spans="1:21" s="397" customFormat="1">
      <c r="A5" s="212" t="s">
        <v>32</v>
      </c>
      <c r="B5" s="409">
        <v>240.86199999999999</v>
      </c>
      <c r="C5" s="409">
        <f>(96.887/B29)</f>
        <v>123.58035714285714</v>
      </c>
      <c r="D5" s="409">
        <v>74.738</v>
      </c>
      <c r="E5" s="409">
        <v>46</v>
      </c>
      <c r="F5" s="409">
        <v>251.322</v>
      </c>
      <c r="G5" s="409">
        <v>249.15700000000001</v>
      </c>
      <c r="H5" s="409">
        <v>299.38400000000001</v>
      </c>
      <c r="I5" s="409">
        <v>106.169</v>
      </c>
      <c r="J5" s="427">
        <f>K5/$B$26/1000</f>
        <v>122.31345875542691</v>
      </c>
      <c r="K5" s="409">
        <v>845186</v>
      </c>
      <c r="L5" s="427">
        <f>M5/$B$26/1000</f>
        <v>80.724602026049212</v>
      </c>
      <c r="M5" s="427">
        <v>557807</v>
      </c>
      <c r="N5" s="407">
        <f>O5/B26/1000</f>
        <v>7.6985528219971053</v>
      </c>
      <c r="O5" s="407">
        <v>53197</v>
      </c>
      <c r="P5" s="407">
        <f>Q5/B26/1000</f>
        <v>25.67438494934877</v>
      </c>
      <c r="Q5" s="409">
        <v>177410</v>
      </c>
      <c r="R5" s="429">
        <f>10.87*1000/B27</f>
        <v>99.717451930133578</v>
      </c>
    </row>
    <row r="6" spans="1:21">
      <c r="A6" s="132" t="s">
        <v>33</v>
      </c>
      <c r="B6" s="427">
        <f>254.271+43.627+242.995+443.312+154.099</f>
        <v>1138.3040000000001</v>
      </c>
      <c r="C6" s="430">
        <f>(150.258+83.256+3.379+114.195+133.086+229.236+65.75+0.721)/B29</f>
        <v>994.74617346938771</v>
      </c>
      <c r="D6" s="427">
        <f>107.068+84.245+23.289+22.98+127.514+121.841+18.007+83.944+6.345+1.051</f>
        <v>596.28399999999999</v>
      </c>
      <c r="E6" s="427">
        <f>(101.879+0.741+106.997+40.219+153.797+1.006+5.666)/B28</f>
        <v>412.78169014084506</v>
      </c>
      <c r="F6" s="427">
        <f>23.967+169.952+251.322+39.857+276.14+280.265+80.775+7.523</f>
        <v>1129.8009999999999</v>
      </c>
      <c r="G6" s="427">
        <f>21.704+241.927+249.157+139.758+411.103+398.239</f>
        <v>1461.8880000000001</v>
      </c>
      <c r="H6" s="427">
        <f>161.56+7.107+274.597+229.826+40.485+256.467+215.73</f>
        <v>1185.7719999999999</v>
      </c>
      <c r="I6" s="427">
        <f>102+79+263+154+14+68+141</f>
        <v>821</v>
      </c>
      <c r="J6" s="427">
        <f>K6/$B$26/1000</f>
        <v>1106.6739507959478</v>
      </c>
      <c r="K6" s="427">
        <v>7647117</v>
      </c>
      <c r="L6" s="427">
        <f>M6/$B$26/1000</f>
        <v>899.16657018813316</v>
      </c>
      <c r="M6" s="406">
        <v>6213241</v>
      </c>
      <c r="N6" s="406">
        <f t="shared" ref="N6:N12" si="0">O6/$B$26/1000</f>
        <v>1074.2301013024601</v>
      </c>
      <c r="O6" s="406">
        <v>7422930</v>
      </c>
      <c r="P6" s="406">
        <f t="shared" ref="P6:P12" si="1">Q6/$B$26/1000</f>
        <v>797.98292329956575</v>
      </c>
      <c r="Q6" s="408">
        <v>5514062</v>
      </c>
      <c r="R6" s="428">
        <f>((74.21+ 2.73 + 16.13+ 64.26)*1000/B27)+R5</f>
        <v>1543.0060179069424</v>
      </c>
      <c r="S6" s="22"/>
    </row>
    <row r="7" spans="1:21">
      <c r="A7" s="132" t="s">
        <v>67</v>
      </c>
      <c r="B7" s="427">
        <f t="shared" ref="B7:J7" si="2">B6-B4-B5*0.375</f>
        <v>893.88175000000012</v>
      </c>
      <c r="C7" s="427">
        <f t="shared" si="2"/>
        <v>650.55404974489795</v>
      </c>
      <c r="D7" s="427">
        <f t="shared" si="2"/>
        <v>461.18925000000002</v>
      </c>
      <c r="E7" s="427">
        <f t="shared" si="2"/>
        <v>292.29225352112672</v>
      </c>
      <c r="F7" s="427">
        <f t="shared" si="2"/>
        <v>841.6362499999999</v>
      </c>
      <c r="G7" s="427">
        <f t="shared" si="2"/>
        <v>1104.8231250000001</v>
      </c>
      <c r="H7" s="427">
        <f t="shared" si="2"/>
        <v>911.94299999999998</v>
      </c>
      <c r="I7" s="427">
        <f t="shared" si="2"/>
        <v>640.18662500000005</v>
      </c>
      <c r="J7" s="427">
        <f t="shared" si="2"/>
        <v>580.6448986975397</v>
      </c>
      <c r="K7" s="427">
        <f t="shared" ref="K7:M7" si="3">K6-K4-K5*0.375</f>
        <v>4012256.25</v>
      </c>
      <c r="L7" s="427">
        <f t="shared" si="3"/>
        <v>489.58804269175113</v>
      </c>
      <c r="M7" s="427">
        <f t="shared" si="3"/>
        <v>3383053.375</v>
      </c>
      <c r="N7" s="406">
        <f t="shared" si="0"/>
        <v>680.62027858176555</v>
      </c>
      <c r="O7" s="406">
        <f>O6-O4-O5*0.375</f>
        <v>4703086.125</v>
      </c>
      <c r="P7" s="406">
        <f>P6-P4-P5*0.375</f>
        <v>487.51436324167861</v>
      </c>
      <c r="Q7" s="408">
        <f>Q6-Q4+Q5*0.375</f>
        <v>3501781.75</v>
      </c>
      <c r="R7" s="428">
        <f>R6-R4-R5*0.375</f>
        <v>824.83625055041796</v>
      </c>
      <c r="S7" s="22"/>
    </row>
    <row r="8" spans="1:21">
      <c r="A8" s="132" t="s">
        <v>35</v>
      </c>
      <c r="B8" s="427">
        <f>69.203+1036.743</f>
        <v>1105.9459999999999</v>
      </c>
      <c r="C8" s="427">
        <f>(339.115/B29)</f>
        <v>432.54464285714283</v>
      </c>
      <c r="D8" s="427">
        <f>12.447+326.786</f>
        <v>339.233</v>
      </c>
      <c r="E8" s="427">
        <f>296.779/B28</f>
        <v>298.57042253521126</v>
      </c>
      <c r="F8" s="427">
        <f>686.7</f>
        <v>686.7</v>
      </c>
      <c r="G8" s="427">
        <f>946.646</f>
        <v>946.64599999999996</v>
      </c>
      <c r="H8" s="427">
        <f>983.426-9.416</f>
        <v>974.01</v>
      </c>
      <c r="I8" s="427">
        <f>23+1+962-9</f>
        <v>977</v>
      </c>
      <c r="J8" s="427">
        <f>K8/$B$26/1000</f>
        <v>2729.4422575976846</v>
      </c>
      <c r="K8" s="427">
        <v>18860446</v>
      </c>
      <c r="L8" s="427">
        <f>M8/$B$26/1000</f>
        <v>2402.6063675832129</v>
      </c>
      <c r="M8" s="406">
        <v>16602010</v>
      </c>
      <c r="N8" s="406">
        <f t="shared" si="0"/>
        <v>1933.4570188133139</v>
      </c>
      <c r="O8" s="406">
        <v>13360188</v>
      </c>
      <c r="P8" s="406">
        <f t="shared" si="1"/>
        <v>1844.2004341534009</v>
      </c>
      <c r="Q8" s="408">
        <v>12743425</v>
      </c>
      <c r="R8" s="428">
        <f>(0.451+107.41+9.24)*1000/B27</f>
        <v>1074.2422574489945</v>
      </c>
    </row>
    <row r="9" spans="1:21">
      <c r="A9" s="132" t="s">
        <v>36</v>
      </c>
      <c r="B9" s="427">
        <f>240.862+230.04+B5*0.375+B4</f>
        <v>715.32424999999989</v>
      </c>
      <c r="C9" s="430">
        <f>(8.119+4.215+0.412+3.29+2.108+3.089)/B29+(C5*0.375)+C4</f>
        <v>371.27503188775512</v>
      </c>
      <c r="D9" s="427">
        <f>12.804+6.469+9.537+7.856+D5*0.375+D4</f>
        <v>171.76075</v>
      </c>
      <c r="E9" s="427">
        <f>(4.663+39.609+35.648)/B28+E4+E5*0.375</f>
        <v>200.89185110663988</v>
      </c>
      <c r="F9" s="427">
        <f>22.126+4.822+107.709+F5*0.375+F4</f>
        <v>422.82175000000001</v>
      </c>
      <c r="G9" s="427">
        <f>25.813+53.341+126.83+72.861+G5*0.375+G4</f>
        <v>635.90987499999994</v>
      </c>
      <c r="H9" s="427">
        <f>10.561+68.951+9.158+55.937+129.69+H5*0.375+H4</f>
        <v>548.12599999999998</v>
      </c>
      <c r="I9" s="427">
        <f>79+26+12+2+9+I5*0.375+I4</f>
        <v>308.81337500000001</v>
      </c>
      <c r="J9" s="427">
        <f>(K9/$B$26/1000)+L5*0.375+J4+495</f>
        <v>1046.5268632416787</v>
      </c>
      <c r="K9" s="427">
        <v>283957</v>
      </c>
      <c r="L9" s="427">
        <f>L4+(L5*0.375)+379</f>
        <v>788.57852749638209</v>
      </c>
      <c r="M9" s="427"/>
      <c r="N9" s="406">
        <f>O9/$B$26/1000+N5*0.375+N4+525</f>
        <v>986.3923118668597</v>
      </c>
      <c r="O9" s="406">
        <v>468377</v>
      </c>
      <c r="P9" s="406">
        <f>(Q9/$B$26/1000)+P5*0.375+P4+503</f>
        <v>963.09649059334299</v>
      </c>
      <c r="Q9" s="408">
        <v>1033929</v>
      </c>
      <c r="R9" s="428">
        <f>((7.25+0.91+2.13 +12.84 +1.34+1.14+ 0.82+0.1-0.7)*1000/B27)+R5*0.375+R4</f>
        <v>955.12485322178202</v>
      </c>
    </row>
    <row r="10" spans="1:21">
      <c r="A10" s="132" t="s">
        <v>37</v>
      </c>
      <c r="B10" s="427">
        <v>2532.6</v>
      </c>
      <c r="C10" s="427">
        <f>905.693/B29</f>
        <v>1155.220663265306</v>
      </c>
      <c r="D10" s="427">
        <v>520.33000000000004</v>
      </c>
      <c r="E10" s="427">
        <f>500.668/B28</f>
        <v>503.69014084507046</v>
      </c>
      <c r="F10" s="427">
        <v>692</v>
      </c>
      <c r="G10" s="427">
        <v>943.39200000000005</v>
      </c>
      <c r="H10" s="427">
        <v>1062</v>
      </c>
      <c r="I10" s="427">
        <v>1640</v>
      </c>
      <c r="J10" s="427">
        <f>K10*$B$29</f>
        <v>1.8267200000000001</v>
      </c>
      <c r="K10" s="427">
        <v>2.33</v>
      </c>
      <c r="L10" s="427">
        <f>M10*$B$29</f>
        <v>2.2579199999999999</v>
      </c>
      <c r="M10" s="427">
        <v>2.88</v>
      </c>
      <c r="N10" s="406">
        <f t="shared" si="0"/>
        <v>1921.1287988422575</v>
      </c>
      <c r="O10" s="406">
        <v>13275000</v>
      </c>
      <c r="P10" s="406">
        <f t="shared" si="1"/>
        <v>253.17771345875542</v>
      </c>
      <c r="Q10" s="408">
        <v>1749458</v>
      </c>
      <c r="R10" s="428">
        <f>293*1000/B27</f>
        <v>2687.876119183913</v>
      </c>
    </row>
    <row r="11" spans="1:21">
      <c r="A11" s="132" t="s">
        <v>38</v>
      </c>
      <c r="B11" s="427">
        <f>B10-B14</f>
        <v>1997.5</v>
      </c>
      <c r="C11" s="427">
        <f>C10-C14</f>
        <v>738.1983418367347</v>
      </c>
      <c r="D11" s="427">
        <f>D10-D14</f>
        <v>313.81900000000007</v>
      </c>
      <c r="E11" s="427">
        <f>E10-E14</f>
        <v>307.4144869215292</v>
      </c>
      <c r="F11" s="427">
        <f>F10-F14</f>
        <v>581.28</v>
      </c>
      <c r="G11" s="427">
        <f t="shared" ref="G11" si="4">G10-G14</f>
        <v>817.87300000000005</v>
      </c>
      <c r="H11" s="427">
        <f>H10-H14</f>
        <v>836</v>
      </c>
      <c r="I11" s="427">
        <f>I10-I14</f>
        <v>1527</v>
      </c>
      <c r="J11" s="427">
        <f>K11*$B$29</f>
        <v>0.93296000000000012</v>
      </c>
      <c r="K11" s="427">
        <f>K10-K14</f>
        <v>1.1900000000000002</v>
      </c>
      <c r="L11" s="427">
        <f>M11*$B$29</f>
        <v>1.5993600000000001</v>
      </c>
      <c r="M11" s="427">
        <f>M10-M14</f>
        <v>2.04</v>
      </c>
      <c r="N11" s="406">
        <f t="shared" si="0"/>
        <v>1831.8078147612157</v>
      </c>
      <c r="O11" s="406">
        <f>O10-O14</f>
        <v>12657792</v>
      </c>
      <c r="P11" s="406">
        <f t="shared" si="1"/>
        <v>219.81193921852389</v>
      </c>
      <c r="Q11" s="408">
        <f>Q10-Q14</f>
        <v>1518900.5</v>
      </c>
      <c r="R11" s="428">
        <f>(R10-R14)</f>
        <v>2394.8701012769702</v>
      </c>
    </row>
    <row r="12" spans="1:21">
      <c r="A12" s="132" t="s">
        <v>39</v>
      </c>
      <c r="B12" s="427">
        <f>'Industry breakdown'!Z41</f>
        <v>74.104303208935988</v>
      </c>
      <c r="C12" s="427">
        <f>('Industry breakdown'!AB41)/B29</f>
        <v>47.35536891984615</v>
      </c>
      <c r="D12" s="427">
        <f>'Industry breakdown'!AD41</f>
        <v>2.128364384813437</v>
      </c>
      <c r="E12" s="409">
        <f>((158.586+141.575+5.409)*'€ Zone Details'!M13)/B28</f>
        <v>16.488340463531745</v>
      </c>
      <c r="F12" s="427">
        <f>'Industry breakdown'!AL41</f>
        <v>69.172652115747951</v>
      </c>
      <c r="G12" s="427">
        <f>'Industry breakdown'!AF41</f>
        <v>100.46171622323084</v>
      </c>
      <c r="H12" s="427">
        <f>'Industry breakdown'!AH41</f>
        <v>46.438280522058925</v>
      </c>
      <c r="I12" s="427">
        <f>'Industry breakdown'!AJ41</f>
        <v>732.70504796688294</v>
      </c>
      <c r="J12" s="427">
        <f>K12*$B$29</f>
        <v>3.3885531282640172E-2</v>
      </c>
      <c r="K12" s="427">
        <f>'Industry breakdown'!AN41</f>
        <v>4.3221340921734908E-2</v>
      </c>
      <c r="L12" s="427">
        <f>M12*$B$29</f>
        <v>0.20499427642263074</v>
      </c>
      <c r="M12" s="427">
        <f>'Industry breakdown'!AP41</f>
        <v>0.26147229135539635</v>
      </c>
      <c r="N12" s="406">
        <f t="shared" si="0"/>
        <v>196.62089440886749</v>
      </c>
      <c r="O12" s="406">
        <f>'Industry breakdown'!AR41</f>
        <v>1358650.3803652744</v>
      </c>
      <c r="P12" s="406">
        <f t="shared" si="1"/>
        <v>19.014570071307283</v>
      </c>
      <c r="Q12" s="408">
        <f>'Industry breakdown'!AT41</f>
        <v>131390.67919273334</v>
      </c>
      <c r="R12" s="428">
        <f>('Industry breakdown'!AV41)*1000/B27</f>
        <v>174.18277852827936</v>
      </c>
      <c r="S12" s="434" t="s">
        <v>68</v>
      </c>
      <c r="T12" s="435" t="s">
        <v>69</v>
      </c>
      <c r="U12" s="436" t="s">
        <v>70</v>
      </c>
    </row>
    <row r="13" spans="1:21" ht="15.75">
      <c r="A13" s="132" t="s">
        <v>41</v>
      </c>
      <c r="B13" s="122">
        <f t="shared" ref="B13" si="5">B12/B11</f>
        <v>3.7098524760418521E-2</v>
      </c>
      <c r="C13" s="122">
        <f t="shared" ref="C13:Q13" si="6">C12/C11</f>
        <v>6.4149925888508166E-2</v>
      </c>
      <c r="D13" s="122">
        <f t="shared" si="6"/>
        <v>6.7821399749965318E-3</v>
      </c>
      <c r="E13" s="122">
        <f t="shared" si="6"/>
        <v>5.3635534969894143E-2</v>
      </c>
      <c r="F13" s="122">
        <f t="shared" si="6"/>
        <v>0.11900057135244281</v>
      </c>
      <c r="G13" s="122">
        <f t="shared" si="6"/>
        <v>0.12283290464806985</v>
      </c>
      <c r="H13" s="122">
        <f t="shared" si="6"/>
        <v>5.5548182442654213E-2</v>
      </c>
      <c r="I13" s="122">
        <f t="shared" si="6"/>
        <v>0.47983303730640664</v>
      </c>
      <c r="J13" s="122">
        <f>J12/J11</f>
        <v>3.6320454556079754E-2</v>
      </c>
      <c r="K13" s="122">
        <f>K12/K11</f>
        <v>3.6320454556079747E-2</v>
      </c>
      <c r="L13" s="122">
        <f>L12/L11</f>
        <v>0.12817269184088056</v>
      </c>
      <c r="M13" s="122">
        <f>M12/M11</f>
        <v>0.12817269184088056</v>
      </c>
      <c r="N13" s="382">
        <f t="shared" si="6"/>
        <v>0.10733707587905333</v>
      </c>
      <c r="O13" s="383">
        <f t="shared" si="6"/>
        <v>0.10733707587905335</v>
      </c>
      <c r="P13" s="384">
        <f t="shared" si="6"/>
        <v>8.6503809296746767E-2</v>
      </c>
      <c r="Q13" s="384">
        <f t="shared" si="6"/>
        <v>8.6503809296746781E-2</v>
      </c>
      <c r="R13" s="135">
        <f>R12/R11</f>
        <v>7.2731618485446556E-2</v>
      </c>
      <c r="S13" s="437">
        <f>'€ Zone Details'!M13</f>
        <v>5.363553496989415E-2</v>
      </c>
      <c r="T13" s="438">
        <f>AVERAGE(F13:I13)</f>
        <v>0.1943036739373934</v>
      </c>
      <c r="U13" s="439">
        <f>AVERAGE(K13,M13,N13,P13)</f>
        <v>8.9583507893190098E-2</v>
      </c>
    </row>
    <row r="14" spans="1:21">
      <c r="A14" s="132" t="s">
        <v>42</v>
      </c>
      <c r="B14" s="120">
        <f>535.1</f>
        <v>535.1</v>
      </c>
      <c r="C14" s="120">
        <f>(653.891/2)/B29</f>
        <v>417.02232142857139</v>
      </c>
      <c r="D14" s="120">
        <f>134.041+72.47</f>
        <v>206.511</v>
      </c>
      <c r="E14" s="120">
        <f>195.098/B28</f>
        <v>196.27565392354126</v>
      </c>
      <c r="F14" s="120">
        <f>F10*8%+F10*4%+F10*4%</f>
        <v>110.72</v>
      </c>
      <c r="G14" s="120">
        <f>51.775+50.091+4.116+12.202+7.335</f>
        <v>125.51899999999999</v>
      </c>
      <c r="H14" s="123">
        <f>15+63+109+11+28</f>
        <v>226</v>
      </c>
      <c r="I14" s="123">
        <f>112+1</f>
        <v>113</v>
      </c>
      <c r="J14" s="121">
        <f>K14*$B$29</f>
        <v>0.89376</v>
      </c>
      <c r="K14" s="339">
        <v>1.1399999999999999</v>
      </c>
      <c r="L14" s="121">
        <f>M14*$B$29</f>
        <v>0.65856000000000003</v>
      </c>
      <c r="M14" s="339">
        <v>0.84</v>
      </c>
      <c r="N14" s="306">
        <f t="shared" ref="N14:N20" si="7">O14/$B$26/1000</f>
        <v>89.320984081041971</v>
      </c>
      <c r="O14" s="406">
        <v>617208</v>
      </c>
      <c r="P14" s="306">
        <f t="shared" ref="P14:P20" si="8">Q14/$B$26/1000</f>
        <v>33.365774240231552</v>
      </c>
      <c r="Q14" s="408">
        <f>461115/2</f>
        <v>230557.5</v>
      </c>
      <c r="R14" s="133">
        <f>31.94*1000/B27</f>
        <v>293.00601790694265</v>
      </c>
    </row>
    <row r="15" spans="1:21">
      <c r="A15" s="212" t="s">
        <v>43</v>
      </c>
      <c r="B15" s="120">
        <f>B14*$S13</f>
        <v>28.700374762390361</v>
      </c>
      <c r="C15" s="120">
        <f>C14*$S13</f>
        <v>22.367215304208578</v>
      </c>
      <c r="D15" s="120">
        <f>D14*$S13</f>
        <v>11.076327962167811</v>
      </c>
      <c r="E15" s="120">
        <f>E14*$S13</f>
        <v>10.527349699754939</v>
      </c>
      <c r="F15" s="120">
        <f>F14*$T13</f>
        <v>21.513302778348198</v>
      </c>
      <c r="G15" s="120">
        <f>G14*$T13</f>
        <v>24.38880284894768</v>
      </c>
      <c r="H15" s="120">
        <f>H14*$T13</f>
        <v>43.912630309850904</v>
      </c>
      <c r="I15" s="120">
        <f>I14*$T13</f>
        <v>21.956315154925452</v>
      </c>
      <c r="J15" s="121">
        <f>K15*$B$29</f>
        <v>8.0066156014617584E-2</v>
      </c>
      <c r="K15" s="121">
        <f>K14*$U$13</f>
        <v>0.1021251989982367</v>
      </c>
      <c r="L15" s="121">
        <f>M15*$B$29</f>
        <v>5.8996114958139272E-2</v>
      </c>
      <c r="M15" s="121">
        <f>M14*$U$13</f>
        <v>7.525014663027968E-2</v>
      </c>
      <c r="N15" s="306">
        <f t="shared" si="7"/>
        <v>8.0016870824515305</v>
      </c>
      <c r="O15" s="408">
        <f>O14*$U13</f>
        <v>55291.657739740076</v>
      </c>
      <c r="P15" s="306">
        <f t="shared" si="8"/>
        <v>2.9890231000121816</v>
      </c>
      <c r="Q15" s="408">
        <f>Q14*U13</f>
        <v>20654.149621084176</v>
      </c>
      <c r="R15" s="133">
        <f>(R14*$U13)</f>
        <v>26.248506917918796</v>
      </c>
    </row>
    <row r="16" spans="1:21">
      <c r="A16" s="132" t="s">
        <v>44</v>
      </c>
      <c r="B16" s="120">
        <f t="shared" ref="B16:I16" si="9">B12+B15</f>
        <v>102.80467797132636</v>
      </c>
      <c r="C16" s="120">
        <f t="shared" si="9"/>
        <v>69.722584224054728</v>
      </c>
      <c r="D16" s="120">
        <f t="shared" si="9"/>
        <v>13.204692346981249</v>
      </c>
      <c r="E16" s="120">
        <f t="shared" si="9"/>
        <v>27.015690163286685</v>
      </c>
      <c r="F16" s="120">
        <f t="shared" si="9"/>
        <v>90.685954894096142</v>
      </c>
      <c r="G16" s="120">
        <f t="shared" si="9"/>
        <v>124.85051907217851</v>
      </c>
      <c r="H16" s="120">
        <f t="shared" si="9"/>
        <v>90.350910831909829</v>
      </c>
      <c r="I16" s="120">
        <f t="shared" si="9"/>
        <v>754.66136312180845</v>
      </c>
      <c r="J16" s="121">
        <f>K16*$B$29</f>
        <v>0.11395168729725774</v>
      </c>
      <c r="K16" s="121">
        <f>K12+K15</f>
        <v>0.1453465399199716</v>
      </c>
      <c r="L16" s="121">
        <f>M16*$B$29</f>
        <v>0.26399039138077002</v>
      </c>
      <c r="M16" s="121">
        <f>M15+M12</f>
        <v>0.33672243798567603</v>
      </c>
      <c r="N16" s="306">
        <f t="shared" si="7"/>
        <v>204.62258149131904</v>
      </c>
      <c r="O16" s="406">
        <f>O12+O15</f>
        <v>1413942.0381050145</v>
      </c>
      <c r="P16" s="306">
        <f t="shared" si="8"/>
        <v>22.003593171319469</v>
      </c>
      <c r="Q16" s="408">
        <f>Q15+Q12</f>
        <v>152044.82881381753</v>
      </c>
      <c r="R16" s="133">
        <f>(R12+R15)</f>
        <v>200.43128544619816</v>
      </c>
      <c r="S16" s="21"/>
    </row>
    <row r="17" spans="1:19">
      <c r="A17" s="136" t="s">
        <v>45</v>
      </c>
      <c r="B17" s="124">
        <f t="shared" ref="B17:I17" si="10">(B16*B8/B10)</f>
        <v>44.893162119433185</v>
      </c>
      <c r="C17" s="124">
        <f t="shared" si="10"/>
        <v>26.10594776501565</v>
      </c>
      <c r="D17" s="124">
        <f t="shared" si="10"/>
        <v>8.6088970440748938</v>
      </c>
      <c r="E17" s="124">
        <f t="shared" si="10"/>
        <v>16.013984338863395</v>
      </c>
      <c r="F17" s="124">
        <f>(F16*F8/F10)</f>
        <v>89.991394834936159</v>
      </c>
      <c r="G17" s="124">
        <f t="shared" si="10"/>
        <v>125.2811604058562</v>
      </c>
      <c r="H17" s="124">
        <f t="shared" si="10"/>
        <v>82.865057118068265</v>
      </c>
      <c r="I17" s="124">
        <f t="shared" si="10"/>
        <v>449.57570229878468</v>
      </c>
      <c r="J17" s="124">
        <f>(J16*J8/J10)</f>
        <v>170.26394337046321</v>
      </c>
      <c r="K17" s="124">
        <f>(K16*K8/K10)</f>
        <v>1176523.8486899007</v>
      </c>
      <c r="L17" s="124">
        <f>(L16*L8/L10)</f>
        <v>280.90676167101697</v>
      </c>
      <c r="M17" s="124">
        <f>(M16*M8/M10)</f>
        <v>1941065.7231467268</v>
      </c>
      <c r="N17" s="328">
        <f t="shared" si="7"/>
        <v>205.93568043460209</v>
      </c>
      <c r="O17" s="410">
        <f>O16*(O8/O10)</f>
        <v>1423015.5518031004</v>
      </c>
      <c r="P17" s="328">
        <f t="shared" si="8"/>
        <v>160.27886311601753</v>
      </c>
      <c r="Q17" s="413">
        <f>Q16*(Q8/Q10)</f>
        <v>1107526.9441316812</v>
      </c>
      <c r="R17" s="137">
        <f t="shared" ref="R17" si="11">(R16*R8/R10)</f>
        <v>80.104791662236337</v>
      </c>
      <c r="S17" s="21"/>
    </row>
    <row r="18" spans="1:19">
      <c r="A18" s="136" t="s">
        <v>46</v>
      </c>
      <c r="B18" s="103">
        <f>B7*'Distribution Keys'!$E$17</f>
        <v>41.297336850000008</v>
      </c>
      <c r="C18" s="103">
        <f>C7*'Distribution Keys'!$E$17</f>
        <v>30.055597098214289</v>
      </c>
      <c r="D18" s="103">
        <f>D7*'Distribution Keys'!$E$17</f>
        <v>21.306943350000005</v>
      </c>
      <c r="E18" s="103">
        <f>E7*'Distribution Keys'!$E$17</f>
        <v>13.503902112676057</v>
      </c>
      <c r="F18" s="103">
        <f>F7*'Distribution Keys'!$E$17</f>
        <v>38.88359475</v>
      </c>
      <c r="G18" s="103">
        <f>G7*'Distribution Keys'!$E$17</f>
        <v>51.042828375000013</v>
      </c>
      <c r="H18" s="103">
        <f>H7*'Distribution Keys'!$E$17</f>
        <v>42.131766600000006</v>
      </c>
      <c r="I18" s="103">
        <f>I7*'Distribution Keys'!$E$17</f>
        <v>29.576622075000007</v>
      </c>
      <c r="J18" s="124">
        <f>K18/$B$26/1000</f>
        <v>25.096251121072598</v>
      </c>
      <c r="K18" s="103">
        <f>K7*'Industry breakdown'!AN41</f>
        <v>173415.09524661166</v>
      </c>
      <c r="L18" s="124">
        <f>M18/$B$26/1000</f>
        <v>128.01370734281576</v>
      </c>
      <c r="M18" s="103">
        <f>M7*'Industry breakdown'!AP41</f>
        <v>884574.71773885691</v>
      </c>
      <c r="N18" s="328">
        <f t="shared" si="7"/>
        <v>31.444656870477569</v>
      </c>
      <c r="O18" s="411">
        <f>O7*'Distribution Keys'!E17</f>
        <v>217282.57897500001</v>
      </c>
      <c r="P18" s="328">
        <f t="shared" si="8"/>
        <v>23.412781020260493</v>
      </c>
      <c r="Q18" s="414">
        <f>Q7*'Distribution Keys'!E17</f>
        <v>161782.31685</v>
      </c>
      <c r="R18" s="154">
        <f>R7*'Distribution Keys'!E17</f>
        <v>38.107434775429311</v>
      </c>
      <c r="S18" s="21"/>
    </row>
    <row r="19" spans="1:19" ht="15.75">
      <c r="A19" s="138" t="s">
        <v>19</v>
      </c>
      <c r="B19" s="125">
        <f t="shared" ref="B19:I19" si="12">B17+B18</f>
        <v>86.190498969433193</v>
      </c>
      <c r="C19" s="125">
        <f t="shared" si="12"/>
        <v>56.161544863229935</v>
      </c>
      <c r="D19" s="125">
        <f t="shared" si="12"/>
        <v>29.915840394074898</v>
      </c>
      <c r="E19" s="125">
        <f t="shared" si="12"/>
        <v>29.517886451539454</v>
      </c>
      <c r="F19" s="125">
        <f t="shared" si="12"/>
        <v>128.87498958493615</v>
      </c>
      <c r="G19" s="125">
        <f t="shared" si="12"/>
        <v>176.32398878085621</v>
      </c>
      <c r="H19" s="125">
        <f t="shared" si="12"/>
        <v>124.99682371806827</v>
      </c>
      <c r="I19" s="125">
        <f t="shared" si="12"/>
        <v>479.15232437378467</v>
      </c>
      <c r="J19" s="125">
        <f>J17+J18</f>
        <v>195.36019449153582</v>
      </c>
      <c r="K19" s="125">
        <f>K17+K18</f>
        <v>1349938.9439365123</v>
      </c>
      <c r="L19" s="125">
        <f>L17+L18</f>
        <v>408.92046901383276</v>
      </c>
      <c r="M19" s="125">
        <f>M17+M18</f>
        <v>2825640.4408855839</v>
      </c>
      <c r="N19" s="329">
        <f t="shared" si="7"/>
        <v>237.38033730507965</v>
      </c>
      <c r="O19" s="412">
        <f>O17+O18</f>
        <v>1640298.1307781003</v>
      </c>
      <c r="P19" s="329">
        <f t="shared" si="8"/>
        <v>183.69164413627806</v>
      </c>
      <c r="Q19" s="415">
        <f>Q18+Q17</f>
        <v>1269309.2609816813</v>
      </c>
      <c r="R19" s="139">
        <f t="shared" ref="R19" si="13">R17+R18</f>
        <v>118.21222643766565</v>
      </c>
      <c r="S19" s="21"/>
    </row>
    <row r="20" spans="1:19">
      <c r="A20" s="132" t="s">
        <v>21</v>
      </c>
      <c r="B20" s="120">
        <v>123.96599999999999</v>
      </c>
      <c r="C20" s="120">
        <f>40.8/B29</f>
        <v>52.04081632653061</v>
      </c>
      <c r="D20" s="120">
        <v>35.582000000000001</v>
      </c>
      <c r="E20" s="120">
        <f>36.774/B28</f>
        <v>36.995975855130787</v>
      </c>
      <c r="F20" s="120">
        <v>137.798</v>
      </c>
      <c r="G20" s="120">
        <v>187.75299999999999</v>
      </c>
      <c r="H20" s="120">
        <v>166.76</v>
      </c>
      <c r="I20" s="120">
        <v>158</v>
      </c>
      <c r="J20" s="120">
        <f>K20/$B$26/1000</f>
        <v>389.58075253256146</v>
      </c>
      <c r="K20" s="120">
        <v>2692003</v>
      </c>
      <c r="L20" s="120">
        <f>M20/$B$26/1000</f>
        <v>323.46266280752531</v>
      </c>
      <c r="M20" s="120">
        <v>2235127</v>
      </c>
      <c r="N20" s="306">
        <f t="shared" si="7"/>
        <v>251.89348769898697</v>
      </c>
      <c r="O20" s="406">
        <v>1740584</v>
      </c>
      <c r="P20" s="306">
        <f t="shared" si="8"/>
        <v>234.52431259044863</v>
      </c>
      <c r="Q20" s="408">
        <v>1620563</v>
      </c>
      <c r="R20" s="338">
        <f>14.32*1000/B27</f>
        <v>131.36650521062674</v>
      </c>
    </row>
    <row r="21" spans="1:19" ht="15.75">
      <c r="A21" s="145" t="s">
        <v>22</v>
      </c>
      <c r="B21" s="148">
        <f t="shared" ref="B21:I21" si="14">B19/B20</f>
        <v>0.69527530911244373</v>
      </c>
      <c r="C21" s="148">
        <f>C19/C20</f>
        <v>1.0791826267836342</v>
      </c>
      <c r="D21" s="148">
        <f t="shared" si="14"/>
        <v>0.84075769754580676</v>
      </c>
      <c r="E21" s="148">
        <f t="shared" si="14"/>
        <v>0.79786749151112779</v>
      </c>
      <c r="F21" s="148">
        <f t="shared" si="14"/>
        <v>0.9352457189867498</v>
      </c>
      <c r="G21" s="148">
        <f t="shared" si="14"/>
        <v>0.93912741091144336</v>
      </c>
      <c r="H21" s="148">
        <f t="shared" si="14"/>
        <v>0.74956118804310556</v>
      </c>
      <c r="I21" s="148">
        <f t="shared" si="14"/>
        <v>3.0326096479353462</v>
      </c>
      <c r="J21" s="307">
        <f t="shared" ref="J21:R21" si="15">J19/J20</f>
        <v>0.50146264470600987</v>
      </c>
      <c r="K21" s="307">
        <f t="shared" si="15"/>
        <v>0.50146264470600976</v>
      </c>
      <c r="L21" s="307">
        <f t="shared" si="15"/>
        <v>1.2641968178477485</v>
      </c>
      <c r="M21" s="307">
        <f t="shared" si="15"/>
        <v>1.2641968178477483</v>
      </c>
      <c r="N21" s="307">
        <f t="shared" si="15"/>
        <v>0.94238378083338714</v>
      </c>
      <c r="O21" s="307">
        <f t="shared" si="15"/>
        <v>0.94238378083338714</v>
      </c>
      <c r="P21" s="308">
        <f t="shared" si="15"/>
        <v>0.78325203091868778</v>
      </c>
      <c r="Q21" s="308">
        <f t="shared" si="15"/>
        <v>0.78325203091868767</v>
      </c>
      <c r="R21" s="253">
        <f t="shared" si="15"/>
        <v>0.89986580862549281</v>
      </c>
    </row>
    <row r="22" spans="1:19" s="24" customFormat="1">
      <c r="A22" s="153" t="s">
        <v>47</v>
      </c>
      <c r="B22" s="143"/>
      <c r="C22" s="143"/>
      <c r="D22" s="143"/>
      <c r="E22" s="143"/>
      <c r="F22" s="143"/>
      <c r="G22" s="143"/>
      <c r="H22" s="143">
        <v>445</v>
      </c>
      <c r="I22" s="143">
        <v>49</v>
      </c>
      <c r="J22" s="143"/>
      <c r="K22" s="312"/>
      <c r="L22" s="312"/>
      <c r="M22" s="312"/>
      <c r="N22" s="143"/>
      <c r="O22" s="143"/>
      <c r="P22" s="143"/>
      <c r="Q22" s="244"/>
      <c r="R22" s="245"/>
    </row>
    <row r="23" spans="1:19">
      <c r="C23" s="22"/>
    </row>
    <row r="24" spans="1:19">
      <c r="C24" s="22"/>
      <c r="D24" s="22"/>
      <c r="G24" s="22"/>
    </row>
    <row r="25" spans="1:19">
      <c r="G25" s="22"/>
    </row>
    <row r="26" spans="1:19">
      <c r="A26" s="20" t="s">
        <v>71</v>
      </c>
      <c r="B26" s="20">
        <v>6.91</v>
      </c>
    </row>
    <row r="27" spans="1:19">
      <c r="A27" s="20" t="s">
        <v>72</v>
      </c>
      <c r="B27" s="20">
        <v>109.008</v>
      </c>
    </row>
    <row r="28" spans="1:19">
      <c r="A28" s="20" t="s">
        <v>73</v>
      </c>
      <c r="B28" s="20">
        <v>0.99399999999999999</v>
      </c>
    </row>
    <row r="29" spans="1:19">
      <c r="A29" s="336" t="s">
        <v>74</v>
      </c>
      <c r="B29" s="20">
        <v>0.78400000000000003</v>
      </c>
    </row>
    <row r="30" spans="1:19">
      <c r="A30" s="20" t="s">
        <v>75</v>
      </c>
      <c r="B30" s="20">
        <v>0.89300000000000002</v>
      </c>
    </row>
  </sheetData>
  <sheetProtection algorithmName="SHA-512" hashValue="pwwNmuFQr/q6Bwfu33exDIDaSjVzhaCFK/CiC43IpNXvXn67yK+B7Wv4pqKFZR1fjYZGFMdiOuPabRuBQEMuvg==" saltValue="+seIh9g1saeIbp4RZjmTaw==" spinCount="100000" sheet="1" objects="1" scenarios="1" selectLockedCells="1" selectUnlockedCells="1"/>
  <pageMargins left="0.7" right="0.7" top="0.75" bottom="0.75" header="0.3" footer="0.3"/>
  <pageSetup paperSize="9" orientation="portrait" r:id="rId1"/>
  <ignoredErrors>
    <ignoredError sqref="J7 J11:K11 J13 J16:K16 J19 K12 K15:L15 K18 L7 L11 L13 L19 N5 N7 N9 N11:O11 N13 N19:O19 O12 P5 P7:Q7 P9 P11 P13 O15:O18 M18 P17:P1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313C7-C32B-D54D-BD20-E47E02774012}">
  <dimension ref="A1:AV46"/>
  <sheetViews>
    <sheetView showGridLines="0" zoomScale="81" zoomScaleNormal="100" workbookViewId="0">
      <pane xSplit="2" ySplit="6" topLeftCell="AW7" activePane="bottomRight" state="frozen"/>
      <selection pane="topRight" activeCell="C1" sqref="C1"/>
      <selection pane="bottomLeft" activeCell="A7" sqref="A7"/>
      <selection pane="bottomRight" activeCell="BC28" sqref="BC27:BC28"/>
    </sheetView>
  </sheetViews>
  <sheetFormatPr baseColWidth="10" defaultColWidth="10.875" defaultRowHeight="15"/>
  <cols>
    <col min="1" max="1" width="47" style="36" customWidth="1"/>
    <col min="2" max="2" width="12.375" style="25" customWidth="1"/>
    <col min="3" max="19" width="10.875" style="25" customWidth="1"/>
    <col min="20" max="20" width="10.5" style="25" customWidth="1"/>
    <col min="21" max="22" width="10.875" style="25" customWidth="1"/>
    <col min="23" max="38" width="10.875" style="25"/>
    <col min="39" max="39" width="14.375" style="25" customWidth="1"/>
    <col min="40" max="40" width="13" style="25" customWidth="1"/>
    <col min="41" max="41" width="21.5" style="25" customWidth="1"/>
    <col min="42" max="16384" width="10.875" style="25"/>
  </cols>
  <sheetData>
    <row r="1" spans="1:48">
      <c r="A1" s="32"/>
      <c r="B1" s="26"/>
      <c r="C1" s="33"/>
      <c r="D1" s="33"/>
      <c r="E1" s="33"/>
      <c r="F1" s="33"/>
      <c r="G1" s="33"/>
      <c r="H1" s="33"/>
      <c r="I1" s="33"/>
      <c r="J1" s="33"/>
      <c r="K1" s="33"/>
      <c r="L1" s="33"/>
      <c r="M1" s="33"/>
      <c r="N1" s="33"/>
      <c r="O1" s="33"/>
      <c r="P1" s="33"/>
      <c r="Q1" s="33"/>
      <c r="R1" s="33"/>
      <c r="S1" s="33"/>
      <c r="T1" s="33"/>
      <c r="U1" s="33"/>
      <c r="V1" s="33"/>
      <c r="W1" s="33"/>
      <c r="X1" s="33"/>
      <c r="Y1" s="34"/>
    </row>
    <row r="2" spans="1:48" ht="18" customHeight="1">
      <c r="A2" s="420" t="s">
        <v>76</v>
      </c>
      <c r="B2" s="104"/>
      <c r="C2" s="104"/>
      <c r="D2" s="104"/>
      <c r="E2" s="35"/>
      <c r="F2" s="35"/>
      <c r="G2" s="35"/>
      <c r="H2" s="35"/>
      <c r="I2" s="35"/>
      <c r="J2" s="35"/>
      <c r="K2" s="35"/>
      <c r="L2" s="35"/>
      <c r="M2" s="35"/>
      <c r="N2" s="35"/>
      <c r="O2" s="35"/>
      <c r="P2" s="35"/>
      <c r="Q2" s="35"/>
      <c r="R2" s="35"/>
      <c r="S2" s="35"/>
      <c r="T2" s="35"/>
      <c r="U2" s="35"/>
      <c r="V2" s="35"/>
      <c r="W2" s="35"/>
      <c r="X2" s="35"/>
      <c r="Y2" s="34"/>
    </row>
    <row r="3" spans="1:48">
      <c r="A3" s="32"/>
      <c r="B3" s="26"/>
      <c r="C3" s="25" t="s">
        <v>77</v>
      </c>
      <c r="D3" s="33"/>
      <c r="E3" s="25" t="s">
        <v>77</v>
      </c>
      <c r="F3" s="33"/>
      <c r="G3" s="25" t="s">
        <v>77</v>
      </c>
      <c r="H3" s="33"/>
      <c r="I3" s="25" t="s">
        <v>77</v>
      </c>
      <c r="J3" s="33"/>
      <c r="K3" s="25" t="s">
        <v>77</v>
      </c>
      <c r="L3" s="33"/>
      <c r="M3" s="25" t="s">
        <v>77</v>
      </c>
      <c r="N3" s="33"/>
      <c r="O3" s="25" t="s">
        <v>77</v>
      </c>
      <c r="P3" s="33"/>
      <c r="Q3" s="25" t="s">
        <v>77</v>
      </c>
      <c r="R3" s="33"/>
      <c r="S3" s="25" t="s">
        <v>77</v>
      </c>
      <c r="T3" s="33"/>
      <c r="U3" s="25" t="s">
        <v>77</v>
      </c>
      <c r="V3" s="33"/>
      <c r="W3" s="25" t="s">
        <v>77</v>
      </c>
      <c r="X3" s="33"/>
      <c r="Y3" s="34" t="s">
        <v>78</v>
      </c>
      <c r="AA3" s="25" t="s">
        <v>79</v>
      </c>
      <c r="AC3" s="25" t="s">
        <v>78</v>
      </c>
      <c r="AE3" s="25" t="s">
        <v>78</v>
      </c>
      <c r="AG3" s="25" t="s">
        <v>78</v>
      </c>
      <c r="AI3" s="25" t="s">
        <v>78</v>
      </c>
      <c r="AK3" s="25" t="s">
        <v>78</v>
      </c>
      <c r="AM3" s="25" t="s">
        <v>79</v>
      </c>
      <c r="AO3" s="25" t="s">
        <v>79</v>
      </c>
      <c r="AQ3" s="25" t="s">
        <v>80</v>
      </c>
      <c r="AS3" s="25" t="s">
        <v>80</v>
      </c>
      <c r="AU3" s="25" t="s">
        <v>81</v>
      </c>
    </row>
    <row r="4" spans="1:48" ht="15" customHeight="1">
      <c r="A4" s="32"/>
      <c r="B4" s="26"/>
      <c r="C4" s="442" t="s">
        <v>82</v>
      </c>
      <c r="D4" s="443"/>
      <c r="E4" s="442" t="s">
        <v>83</v>
      </c>
      <c r="F4" s="443"/>
      <c r="G4" s="442" t="s">
        <v>84</v>
      </c>
      <c r="H4" s="443"/>
      <c r="I4" s="442" t="s">
        <v>4</v>
      </c>
      <c r="J4" s="443"/>
      <c r="K4" s="442" t="s">
        <v>85</v>
      </c>
      <c r="L4" s="443"/>
      <c r="M4" s="442" t="s">
        <v>86</v>
      </c>
      <c r="N4" s="443"/>
      <c r="O4" s="442" t="s">
        <v>87</v>
      </c>
      <c r="P4" s="443"/>
      <c r="Q4" s="442" t="s">
        <v>88</v>
      </c>
      <c r="R4" s="443"/>
      <c r="S4" s="442" t="s">
        <v>89</v>
      </c>
      <c r="T4" s="443"/>
      <c r="U4" s="442" t="s">
        <v>10</v>
      </c>
      <c r="V4" s="443"/>
      <c r="W4" s="442" t="s">
        <v>90</v>
      </c>
      <c r="X4" s="443"/>
      <c r="Y4" s="442" t="s">
        <v>49</v>
      </c>
      <c r="Z4" s="443"/>
      <c r="AA4" s="442" t="s">
        <v>91</v>
      </c>
      <c r="AB4" s="443"/>
      <c r="AC4" s="442" t="s">
        <v>51</v>
      </c>
      <c r="AD4" s="443"/>
      <c r="AE4" s="442" t="s">
        <v>54</v>
      </c>
      <c r="AF4" s="443"/>
      <c r="AG4" s="442" t="s">
        <v>92</v>
      </c>
      <c r="AH4" s="443"/>
      <c r="AI4" s="442" t="s">
        <v>93</v>
      </c>
      <c r="AJ4" s="443"/>
      <c r="AK4" s="442" t="s">
        <v>94</v>
      </c>
      <c r="AL4" s="443"/>
      <c r="AM4" s="442" t="s">
        <v>57</v>
      </c>
      <c r="AN4" s="443"/>
      <c r="AO4" s="442" t="s">
        <v>95</v>
      </c>
      <c r="AP4" s="443"/>
      <c r="AQ4" s="442" t="s">
        <v>59</v>
      </c>
      <c r="AR4" s="443"/>
      <c r="AS4" s="442" t="s">
        <v>60</v>
      </c>
      <c r="AT4" s="443"/>
      <c r="AU4" s="442" t="s">
        <v>61</v>
      </c>
      <c r="AV4" s="443"/>
    </row>
    <row r="5" spans="1:48" ht="15" customHeight="1">
      <c r="A5" s="32"/>
      <c r="B5" s="26"/>
      <c r="C5" s="448" t="s">
        <v>96</v>
      </c>
      <c r="D5" s="449"/>
      <c r="E5" s="448" t="s">
        <v>96</v>
      </c>
      <c r="F5" s="449"/>
      <c r="G5" s="448" t="s">
        <v>97</v>
      </c>
      <c r="H5" s="449"/>
      <c r="I5" s="448" t="s">
        <v>98</v>
      </c>
      <c r="J5" s="449"/>
      <c r="K5" s="448" t="s">
        <v>99</v>
      </c>
      <c r="L5" s="449"/>
      <c r="M5" s="448" t="s">
        <v>100</v>
      </c>
      <c r="N5" s="449"/>
      <c r="O5" s="448" t="s">
        <v>101</v>
      </c>
      <c r="P5" s="449"/>
      <c r="Q5" s="448" t="s">
        <v>102</v>
      </c>
      <c r="R5" s="449"/>
      <c r="S5" s="448" t="s">
        <v>103</v>
      </c>
      <c r="T5" s="449"/>
      <c r="U5" s="448" t="s">
        <v>104</v>
      </c>
      <c r="V5" s="449"/>
      <c r="W5" s="448" t="s">
        <v>105</v>
      </c>
      <c r="X5" s="449"/>
      <c r="Y5" s="448" t="s">
        <v>105</v>
      </c>
      <c r="Z5" s="449"/>
      <c r="AA5" s="448" t="s">
        <v>105</v>
      </c>
      <c r="AB5" s="449"/>
      <c r="AC5" s="448" t="s">
        <v>105</v>
      </c>
      <c r="AD5" s="449"/>
      <c r="AE5" s="448" t="s">
        <v>106</v>
      </c>
      <c r="AF5" s="449"/>
      <c r="AG5" s="448" t="s">
        <v>107</v>
      </c>
      <c r="AH5" s="449"/>
      <c r="AI5" s="448" t="s">
        <v>106</v>
      </c>
      <c r="AJ5" s="449"/>
      <c r="AK5" s="448" t="s">
        <v>106</v>
      </c>
      <c r="AL5" s="449"/>
      <c r="AM5" s="444" t="s">
        <v>108</v>
      </c>
      <c r="AN5" s="445"/>
      <c r="AO5" s="444" t="s">
        <v>109</v>
      </c>
      <c r="AP5" s="445"/>
      <c r="AQ5" s="446" t="s">
        <v>110</v>
      </c>
      <c r="AR5" s="447"/>
      <c r="AS5" s="446" t="s">
        <v>111</v>
      </c>
      <c r="AT5" s="447"/>
      <c r="AU5" s="448" t="s">
        <v>112</v>
      </c>
      <c r="AV5" s="449"/>
    </row>
    <row r="6" spans="1:48" ht="45">
      <c r="A6" s="72" t="s">
        <v>113</v>
      </c>
      <c r="B6" s="86" t="s">
        <v>114</v>
      </c>
      <c r="C6" s="77" t="s">
        <v>115</v>
      </c>
      <c r="D6" s="78" t="s">
        <v>116</v>
      </c>
      <c r="E6" s="77" t="s">
        <v>115</v>
      </c>
      <c r="F6" s="78" t="s">
        <v>116</v>
      </c>
      <c r="G6" s="77" t="s">
        <v>115</v>
      </c>
      <c r="H6" s="78" t="s">
        <v>116</v>
      </c>
      <c r="I6" s="77" t="s">
        <v>115</v>
      </c>
      <c r="J6" s="254" t="s">
        <v>116</v>
      </c>
      <c r="K6" s="77" t="s">
        <v>115</v>
      </c>
      <c r="L6" s="254" t="s">
        <v>116</v>
      </c>
      <c r="M6" s="77" t="s">
        <v>115</v>
      </c>
      <c r="N6" s="254" t="s">
        <v>116</v>
      </c>
      <c r="O6" s="77" t="s">
        <v>115</v>
      </c>
      <c r="P6" s="254" t="s">
        <v>116</v>
      </c>
      <c r="Q6" s="77" t="s">
        <v>115</v>
      </c>
      <c r="R6" s="254" t="s">
        <v>116</v>
      </c>
      <c r="S6" s="77" t="s">
        <v>115</v>
      </c>
      <c r="T6" s="254" t="s">
        <v>116</v>
      </c>
      <c r="U6" s="77" t="s">
        <v>115</v>
      </c>
      <c r="V6" s="254" t="s">
        <v>116</v>
      </c>
      <c r="W6" s="77" t="s">
        <v>115</v>
      </c>
      <c r="X6" s="254" t="s">
        <v>116</v>
      </c>
      <c r="Y6" s="77" t="s">
        <v>115</v>
      </c>
      <c r="Z6" s="254" t="s">
        <v>116</v>
      </c>
      <c r="AA6" s="77" t="s">
        <v>115</v>
      </c>
      <c r="AB6" s="254" t="s">
        <v>116</v>
      </c>
      <c r="AC6" s="77" t="s">
        <v>115</v>
      </c>
      <c r="AD6" s="254" t="s">
        <v>116</v>
      </c>
      <c r="AE6" s="77" t="s">
        <v>115</v>
      </c>
      <c r="AF6" s="254" t="s">
        <v>116</v>
      </c>
      <c r="AG6" s="77" t="s">
        <v>115</v>
      </c>
      <c r="AH6" s="254" t="s">
        <v>116</v>
      </c>
      <c r="AI6" s="77" t="s">
        <v>115</v>
      </c>
      <c r="AJ6" s="270" t="s">
        <v>116</v>
      </c>
      <c r="AK6" s="277" t="s">
        <v>115</v>
      </c>
      <c r="AL6" s="278" t="s">
        <v>116</v>
      </c>
      <c r="AM6" s="277" t="s">
        <v>115</v>
      </c>
      <c r="AN6" s="278" t="s">
        <v>116</v>
      </c>
      <c r="AO6" s="277" t="s">
        <v>115</v>
      </c>
      <c r="AP6" s="278" t="s">
        <v>116</v>
      </c>
      <c r="AQ6" s="277" t="s">
        <v>115</v>
      </c>
      <c r="AR6" s="301" t="s">
        <v>116</v>
      </c>
      <c r="AS6" s="299" t="s">
        <v>115</v>
      </c>
      <c r="AT6" s="300" t="s">
        <v>116</v>
      </c>
      <c r="AU6" s="303" t="s">
        <v>115</v>
      </c>
      <c r="AV6" s="278" t="s">
        <v>116</v>
      </c>
    </row>
    <row r="7" spans="1:48">
      <c r="A7" s="73" t="s">
        <v>117</v>
      </c>
      <c r="B7" s="87">
        <f>'Distribution Keys'!E11</f>
        <v>0.79745462175563886</v>
      </c>
      <c r="C7" s="81"/>
      <c r="D7" s="79"/>
      <c r="E7" s="81"/>
      <c r="F7" s="79"/>
      <c r="G7" s="81"/>
      <c r="H7" s="79"/>
      <c r="I7" s="81">
        <v>35.5</v>
      </c>
      <c r="J7" s="79">
        <f>I7*$B7</f>
        <v>28.309639072325179</v>
      </c>
      <c r="K7" s="81"/>
      <c r="L7" s="79"/>
      <c r="M7" s="81"/>
      <c r="N7" s="79"/>
      <c r="O7" s="81"/>
      <c r="P7" s="79"/>
      <c r="Q7" s="81"/>
      <c r="R7" s="79"/>
      <c r="S7" s="81"/>
      <c r="T7" s="79"/>
      <c r="U7" s="81"/>
      <c r="V7" s="79"/>
      <c r="W7" s="81"/>
      <c r="X7" s="79"/>
      <c r="Y7" s="81"/>
      <c r="Z7" s="79"/>
      <c r="AA7" s="81"/>
      <c r="AB7" s="79"/>
      <c r="AC7" s="81"/>
      <c r="AD7" s="79"/>
      <c r="AE7" s="81"/>
      <c r="AF7" s="79"/>
      <c r="AG7" s="81">
        <v>36</v>
      </c>
      <c r="AH7" s="79">
        <f>AG7*B7</f>
        <v>28.708366383203</v>
      </c>
      <c r="AI7" s="81"/>
      <c r="AJ7" s="271"/>
      <c r="AK7" s="279"/>
      <c r="AL7" s="280"/>
      <c r="AM7" s="279"/>
      <c r="AN7" s="280"/>
      <c r="AO7" s="279"/>
      <c r="AP7" s="280"/>
      <c r="AQ7" s="279"/>
      <c r="AR7" s="271"/>
      <c r="AS7" s="290"/>
      <c r="AT7" s="283"/>
      <c r="AU7" s="273"/>
      <c r="AV7" s="280"/>
    </row>
    <row r="8" spans="1:48">
      <c r="A8" s="73" t="s">
        <v>118</v>
      </c>
      <c r="B8" s="88">
        <v>1</v>
      </c>
      <c r="C8" s="81">
        <v>25.181999999999999</v>
      </c>
      <c r="D8" s="79">
        <f>C8*B8</f>
        <v>25.181999999999999</v>
      </c>
      <c r="E8" s="81"/>
      <c r="F8" s="79"/>
      <c r="G8" s="81"/>
      <c r="H8" s="79"/>
      <c r="I8" s="81"/>
      <c r="J8" s="79"/>
      <c r="K8" s="81"/>
      <c r="L8" s="79"/>
      <c r="M8" s="81"/>
      <c r="N8" s="79"/>
      <c r="O8" s="81"/>
      <c r="P8" s="79"/>
      <c r="Q8" s="81"/>
      <c r="R8" s="79"/>
      <c r="S8" s="81"/>
      <c r="T8" s="79"/>
      <c r="U8" s="81"/>
      <c r="V8" s="79"/>
      <c r="W8" s="81"/>
      <c r="X8" s="79"/>
      <c r="Y8" s="81"/>
      <c r="Z8" s="79"/>
      <c r="AA8" s="81"/>
      <c r="AB8" s="79"/>
      <c r="AC8" s="81"/>
      <c r="AD8" s="79"/>
      <c r="AE8" s="81"/>
      <c r="AF8" s="79"/>
      <c r="AG8" s="81"/>
      <c r="AH8" s="79"/>
      <c r="AI8" s="81"/>
      <c r="AJ8" s="271"/>
      <c r="AK8" s="279"/>
      <c r="AL8" s="280"/>
      <c r="AM8" s="279"/>
      <c r="AN8" s="280"/>
      <c r="AO8" s="279"/>
      <c r="AP8" s="280"/>
      <c r="AQ8" s="279"/>
      <c r="AR8" s="271"/>
      <c r="AS8" s="290"/>
      <c r="AT8" s="283"/>
      <c r="AU8" s="273"/>
      <c r="AV8" s="280"/>
    </row>
    <row r="9" spans="1:48">
      <c r="A9" s="94" t="s">
        <v>119</v>
      </c>
      <c r="B9" s="87">
        <f>'Distribution Keys'!F25</f>
        <v>0.79761342921764677</v>
      </c>
      <c r="C9" s="81"/>
      <c r="D9" s="79"/>
      <c r="E9" s="81"/>
      <c r="F9" s="79"/>
      <c r="G9" s="81"/>
      <c r="H9" s="79"/>
      <c r="I9" s="81"/>
      <c r="J9" s="79"/>
      <c r="K9" s="81"/>
      <c r="L9" s="79"/>
      <c r="M9" s="81"/>
      <c r="N9" s="79"/>
      <c r="O9" s="81"/>
      <c r="P9" s="79"/>
      <c r="Q9" s="81"/>
      <c r="R9" s="79"/>
      <c r="S9" s="81"/>
      <c r="T9" s="79"/>
      <c r="U9" s="81">
        <v>25.359000000000002</v>
      </c>
      <c r="V9" s="79">
        <f>B9*U9</f>
        <v>20.226678951530307</v>
      </c>
      <c r="W9" s="81"/>
      <c r="X9" s="79"/>
      <c r="Y9" s="81"/>
      <c r="Z9" s="79"/>
      <c r="AA9" s="81"/>
      <c r="AB9" s="79"/>
      <c r="AC9" s="81"/>
      <c r="AD9" s="79"/>
      <c r="AE9" s="81"/>
      <c r="AF9" s="79"/>
      <c r="AG9" s="81"/>
      <c r="AH9" s="79"/>
      <c r="AI9" s="81"/>
      <c r="AJ9" s="271"/>
      <c r="AK9" s="279"/>
      <c r="AL9" s="280"/>
      <c r="AM9" s="279"/>
      <c r="AN9" s="280"/>
      <c r="AO9" s="279"/>
      <c r="AP9" s="280"/>
      <c r="AQ9" s="279"/>
      <c r="AR9" s="271"/>
      <c r="AS9" s="290"/>
      <c r="AT9" s="283"/>
      <c r="AU9" s="273"/>
      <c r="AV9" s="280"/>
    </row>
    <row r="10" spans="1:48">
      <c r="A10" s="94" t="s">
        <v>120</v>
      </c>
      <c r="B10" s="87">
        <f>'Distribution Keys'!F36</f>
        <v>0.7972877297354195</v>
      </c>
      <c r="C10" s="81"/>
      <c r="D10" s="79"/>
      <c r="E10" s="81"/>
      <c r="F10" s="79"/>
      <c r="G10" s="81"/>
      <c r="H10" s="79"/>
      <c r="I10" s="81"/>
      <c r="J10" s="79"/>
      <c r="K10" s="81"/>
      <c r="L10" s="79"/>
      <c r="M10" s="265">
        <f>22.047</f>
        <v>22.047000000000001</v>
      </c>
      <c r="N10" s="79">
        <f>M10*B10</f>
        <v>17.577802577476795</v>
      </c>
      <c r="O10" s="81"/>
      <c r="P10" s="79"/>
      <c r="Q10" s="81"/>
      <c r="R10" s="79"/>
      <c r="S10" s="81"/>
      <c r="T10" s="79"/>
      <c r="U10" s="81"/>
      <c r="V10" s="79"/>
      <c r="W10" s="81"/>
      <c r="X10" s="79"/>
      <c r="Y10" s="81"/>
      <c r="Z10" s="79"/>
      <c r="AA10" s="81"/>
      <c r="AB10" s="79"/>
      <c r="AC10" s="81"/>
      <c r="AD10" s="79"/>
      <c r="AE10" s="81"/>
      <c r="AF10" s="79"/>
      <c r="AG10" s="81"/>
      <c r="AH10" s="79"/>
      <c r="AI10" s="81"/>
      <c r="AJ10" s="271"/>
      <c r="AK10" s="279"/>
      <c r="AL10" s="280"/>
      <c r="AM10" s="279"/>
      <c r="AN10" s="280"/>
      <c r="AO10" s="279"/>
      <c r="AP10" s="280"/>
      <c r="AQ10" s="279"/>
      <c r="AR10" s="271"/>
      <c r="AS10" s="313"/>
      <c r="AT10" s="324"/>
      <c r="AU10" s="273"/>
      <c r="AV10" s="280"/>
    </row>
    <row r="11" spans="1:48">
      <c r="A11" s="94" t="s">
        <v>121</v>
      </c>
      <c r="B11" s="87">
        <f>'Distribution Keys'!E46</f>
        <v>0.1640169048098209</v>
      </c>
      <c r="C11" s="81"/>
      <c r="D11" s="79"/>
      <c r="E11" s="81"/>
      <c r="F11" s="79"/>
      <c r="G11" s="81"/>
      <c r="H11" s="79"/>
      <c r="I11" s="81"/>
      <c r="J11" s="79"/>
      <c r="K11" s="81"/>
      <c r="L11" s="79"/>
      <c r="M11" s="81"/>
      <c r="N11" s="79"/>
      <c r="O11" s="81"/>
      <c r="P11" s="79"/>
      <c r="Q11" s="81"/>
      <c r="R11" s="79"/>
      <c r="S11" s="81"/>
      <c r="T11" s="79"/>
      <c r="U11" s="81"/>
      <c r="V11" s="79"/>
      <c r="W11" s="81"/>
      <c r="X11" s="79"/>
      <c r="Y11" s="81"/>
      <c r="Z11" s="79"/>
      <c r="AA11" s="81"/>
      <c r="AB11" s="79"/>
      <c r="AC11" s="81"/>
      <c r="AD11" s="79"/>
      <c r="AE11" s="81"/>
      <c r="AF11" s="79"/>
      <c r="AG11" s="81"/>
      <c r="AH11" s="79"/>
      <c r="AI11" s="81"/>
      <c r="AJ11" s="271"/>
      <c r="AK11" s="279">
        <f>AK41*8%</f>
        <v>55.36</v>
      </c>
      <c r="AL11" s="281">
        <f>AK11*B11</f>
        <v>9.0799758502716852</v>
      </c>
      <c r="AM11" s="289"/>
      <c r="AN11" s="281"/>
      <c r="AO11" s="289"/>
      <c r="AP11" s="281"/>
      <c r="AQ11" s="289"/>
      <c r="AR11" s="298"/>
      <c r="AS11" s="313"/>
      <c r="AT11" s="324"/>
      <c r="AU11" s="274"/>
      <c r="AV11" s="281"/>
    </row>
    <row r="12" spans="1:48">
      <c r="A12" s="73" t="s">
        <v>122</v>
      </c>
      <c r="B12" s="87">
        <f>'Distribution Keys'!F118</f>
        <v>0.43293288754077774</v>
      </c>
      <c r="C12" s="81"/>
      <c r="D12" s="79"/>
      <c r="E12" s="81"/>
      <c r="F12" s="79"/>
      <c r="G12" s="81"/>
      <c r="H12" s="79"/>
      <c r="I12" s="81"/>
      <c r="J12" s="79"/>
      <c r="K12" s="81">
        <v>12.565</v>
      </c>
      <c r="L12" s="79">
        <f>K12*B12</f>
        <v>5.4398017319498724</v>
      </c>
      <c r="M12" s="81"/>
      <c r="N12" s="79"/>
      <c r="O12" s="81">
        <v>20.571999999999999</v>
      </c>
      <c r="P12" s="79">
        <f>O12*B12</f>
        <v>8.9062953624888799</v>
      </c>
      <c r="Q12" s="81">
        <v>23.584</v>
      </c>
      <c r="R12" s="79">
        <f>Q12*B12</f>
        <v>10.210289219761702</v>
      </c>
      <c r="S12" s="81">
        <v>19.687999999999999</v>
      </c>
      <c r="T12" s="79">
        <f>S12*B12</f>
        <v>8.5235826899028311</v>
      </c>
      <c r="U12" s="81"/>
      <c r="V12" s="79"/>
      <c r="W12" s="81">
        <v>26.69</v>
      </c>
      <c r="X12" s="79">
        <f>W12*B12</f>
        <v>11.554978768463359</v>
      </c>
      <c r="Y12" s="81"/>
      <c r="Z12" s="79"/>
      <c r="AA12" s="81">
        <v>14.577999999999999</v>
      </c>
      <c r="AB12" s="79">
        <f>B12*AA12</f>
        <v>6.3112956345694577</v>
      </c>
      <c r="AC12" s="81">
        <v>0.99199999999999999</v>
      </c>
      <c r="AD12" s="79">
        <f>AC12*B12</f>
        <v>0.4294694244404515</v>
      </c>
      <c r="AE12" s="81"/>
      <c r="AF12" s="79"/>
      <c r="AG12" s="81"/>
      <c r="AH12" s="79"/>
      <c r="AI12" s="81"/>
      <c r="AJ12" s="271"/>
      <c r="AK12" s="282"/>
      <c r="AL12" s="283"/>
      <c r="AM12" s="290"/>
      <c r="AN12" s="283"/>
      <c r="AO12" s="290"/>
      <c r="AP12" s="283"/>
      <c r="AQ12" s="290"/>
      <c r="AR12" s="302"/>
      <c r="AS12" s="313">
        <v>19096</v>
      </c>
      <c r="AT12" s="324">
        <f>AS12*B12</f>
        <v>8267.2864204786911</v>
      </c>
      <c r="AU12" s="275"/>
      <c r="AV12" s="283"/>
    </row>
    <row r="13" spans="1:48">
      <c r="A13" s="73" t="s">
        <v>123</v>
      </c>
      <c r="B13" s="87">
        <f>'Distribution Keys'!C137</f>
        <v>0.38007042603768398</v>
      </c>
      <c r="C13" s="81"/>
      <c r="D13" s="79"/>
      <c r="E13" s="81"/>
      <c r="F13" s="79"/>
      <c r="G13" s="81"/>
      <c r="H13" s="79"/>
      <c r="I13" s="81">
        <v>41.64</v>
      </c>
      <c r="J13" s="79">
        <f>I13*B13</f>
        <v>15.826132540209162</v>
      </c>
      <c r="K13" s="81"/>
      <c r="L13" s="79"/>
      <c r="M13" s="81"/>
      <c r="N13" s="79"/>
      <c r="O13" s="81"/>
      <c r="P13" s="79"/>
      <c r="Q13" s="81"/>
      <c r="R13" s="79"/>
      <c r="S13" s="81"/>
      <c r="T13" s="79"/>
      <c r="U13" s="81"/>
      <c r="V13" s="79"/>
      <c r="W13" s="81"/>
      <c r="X13" s="79"/>
      <c r="Y13" s="81">
        <v>32.299999999999997</v>
      </c>
      <c r="Z13" s="79">
        <f>Y13*B13</f>
        <v>12.276274761017191</v>
      </c>
      <c r="AA13" s="81"/>
      <c r="AB13" s="79"/>
      <c r="AC13" s="81"/>
      <c r="AD13" s="79"/>
      <c r="AE13" s="81">
        <v>34.753</v>
      </c>
      <c r="AF13" s="79">
        <f>B13*AE13</f>
        <v>13.208587516087631</v>
      </c>
      <c r="AG13" s="81">
        <v>36</v>
      </c>
      <c r="AH13" s="79">
        <f>AG13*B13</f>
        <v>13.682535337356624</v>
      </c>
      <c r="AI13" s="81">
        <v>224</v>
      </c>
      <c r="AJ13" s="271">
        <f>AI13*B13</f>
        <v>85.135775432441207</v>
      </c>
      <c r="AK13" s="282"/>
      <c r="AL13" s="283"/>
      <c r="AM13" s="290"/>
      <c r="AN13" s="283"/>
      <c r="AO13" s="290"/>
      <c r="AP13" s="283"/>
      <c r="AQ13" s="313"/>
      <c r="AR13" s="314"/>
      <c r="AS13" s="313"/>
      <c r="AT13" s="324"/>
      <c r="AU13" s="275"/>
      <c r="AV13" s="283"/>
    </row>
    <row r="14" spans="1:48">
      <c r="A14" s="73" t="s">
        <v>124</v>
      </c>
      <c r="B14" s="87">
        <f>'Distribution Keys'!C171</f>
        <v>0.89932697912418291</v>
      </c>
      <c r="C14" s="81"/>
      <c r="D14" s="79"/>
      <c r="E14" s="81"/>
      <c r="F14" s="79"/>
      <c r="G14" s="81"/>
      <c r="H14" s="79"/>
      <c r="I14" s="81"/>
      <c r="J14" s="79"/>
      <c r="K14" s="81"/>
      <c r="L14" s="79"/>
      <c r="M14" s="81"/>
      <c r="N14" s="79"/>
      <c r="O14" s="81"/>
      <c r="P14" s="79"/>
      <c r="Q14" s="81"/>
      <c r="R14" s="79"/>
      <c r="S14" s="81"/>
      <c r="T14" s="79"/>
      <c r="U14" s="81"/>
      <c r="V14" s="79"/>
      <c r="W14" s="81"/>
      <c r="X14" s="79"/>
      <c r="Y14" s="81">
        <v>41.2</v>
      </c>
      <c r="Z14" s="79">
        <f>Y14*B14</f>
        <v>37.05227153991634</v>
      </c>
      <c r="AA14" s="81"/>
      <c r="AB14" s="79"/>
      <c r="AC14" s="81"/>
      <c r="AD14" s="79"/>
      <c r="AE14" s="81"/>
      <c r="AF14" s="79"/>
      <c r="AG14" s="81"/>
      <c r="AH14" s="79"/>
      <c r="AI14" s="81"/>
      <c r="AJ14" s="271"/>
      <c r="AK14" s="282"/>
      <c r="AL14" s="283"/>
      <c r="AM14" s="290"/>
      <c r="AN14" s="283"/>
      <c r="AO14" s="290"/>
      <c r="AP14" s="283"/>
      <c r="AQ14" s="315">
        <v>212201</v>
      </c>
      <c r="AR14" s="316">
        <f>AQ14*B14</f>
        <v>190838.08429713073</v>
      </c>
      <c r="AS14" s="315"/>
      <c r="AT14" s="325"/>
      <c r="AU14" s="275"/>
      <c r="AV14" s="283"/>
    </row>
    <row r="15" spans="1:48">
      <c r="A15" s="73" t="s">
        <v>125</v>
      </c>
      <c r="B15" s="87">
        <f>'Distribution Keys'!F186</f>
        <v>0.97899163955384283</v>
      </c>
      <c r="C15" s="81"/>
      <c r="D15" s="79"/>
      <c r="E15" s="81"/>
      <c r="F15" s="79"/>
      <c r="G15" s="81"/>
      <c r="H15" s="79"/>
      <c r="I15" s="81"/>
      <c r="J15" s="79"/>
      <c r="K15" s="81"/>
      <c r="L15" s="79"/>
      <c r="M15" s="81"/>
      <c r="N15" s="79"/>
      <c r="O15" s="81"/>
      <c r="P15" s="79"/>
      <c r="Q15" s="81">
        <f>2.17</f>
        <v>2.17</v>
      </c>
      <c r="R15" s="79">
        <f>Q15*B15</f>
        <v>2.1244118578318387</v>
      </c>
      <c r="S15" s="81"/>
      <c r="T15" s="79"/>
      <c r="U15" s="81"/>
      <c r="V15" s="79"/>
      <c r="W15" s="81"/>
      <c r="X15" s="79"/>
      <c r="Y15" s="81"/>
      <c r="Z15" s="79"/>
      <c r="AA15" s="81"/>
      <c r="AB15" s="79"/>
      <c r="AC15" s="81"/>
      <c r="AD15" s="79"/>
      <c r="AE15" s="81"/>
      <c r="AF15" s="79"/>
      <c r="AG15" s="81"/>
      <c r="AH15" s="79"/>
      <c r="AI15" s="81"/>
      <c r="AJ15" s="271"/>
      <c r="AK15" s="282"/>
      <c r="AL15" s="283"/>
      <c r="AM15" s="290"/>
      <c r="AN15" s="283"/>
      <c r="AO15" s="290"/>
      <c r="AP15" s="283"/>
      <c r="AQ15" s="315"/>
      <c r="AR15" s="316"/>
      <c r="AS15" s="315"/>
      <c r="AT15" s="325"/>
      <c r="AU15" s="275"/>
      <c r="AV15" s="283"/>
    </row>
    <row r="16" spans="1:48">
      <c r="A16" s="73" t="s">
        <v>126</v>
      </c>
      <c r="B16" s="87">
        <f>'Distribution Keys'!C175</f>
        <v>0.5</v>
      </c>
      <c r="C16" s="81"/>
      <c r="D16" s="79"/>
      <c r="E16" s="81"/>
      <c r="F16" s="79"/>
      <c r="G16" s="81"/>
      <c r="H16" s="79"/>
      <c r="I16" s="81"/>
      <c r="J16" s="79"/>
      <c r="K16" s="81"/>
      <c r="L16" s="79"/>
      <c r="M16" s="81"/>
      <c r="N16" s="79"/>
      <c r="O16" s="81"/>
      <c r="P16" s="79"/>
      <c r="Q16" s="81">
        <f>(88.446/2)-Q15</f>
        <v>42.052999999999997</v>
      </c>
      <c r="R16" s="79">
        <f>Q16*B16</f>
        <v>21.026499999999999</v>
      </c>
      <c r="S16" s="81"/>
      <c r="T16" s="79"/>
      <c r="U16" s="81"/>
      <c r="V16" s="79"/>
      <c r="W16" s="81"/>
      <c r="X16" s="79"/>
      <c r="Y16" s="81"/>
      <c r="Z16" s="79"/>
      <c r="AA16" s="81"/>
      <c r="AB16" s="79"/>
      <c r="AC16" s="81"/>
      <c r="AD16" s="79"/>
      <c r="AE16" s="81"/>
      <c r="AF16" s="79"/>
      <c r="AG16" s="81"/>
      <c r="AH16" s="79"/>
      <c r="AI16" s="81"/>
      <c r="AJ16" s="271"/>
      <c r="AK16" s="282"/>
      <c r="AL16" s="283"/>
      <c r="AM16" s="290"/>
      <c r="AN16" s="283"/>
      <c r="AO16" s="290"/>
      <c r="AP16" s="283"/>
      <c r="AQ16" s="315"/>
      <c r="AR16" s="316"/>
      <c r="AS16" s="315"/>
      <c r="AT16" s="325"/>
      <c r="AU16" s="275"/>
      <c r="AV16" s="283"/>
    </row>
    <row r="17" spans="1:48">
      <c r="A17" s="73" t="s">
        <v>127</v>
      </c>
      <c r="B17" s="88">
        <v>1</v>
      </c>
      <c r="C17" s="81"/>
      <c r="D17" s="79"/>
      <c r="E17" s="81"/>
      <c r="F17" s="79"/>
      <c r="G17" s="81">
        <v>25.916</v>
      </c>
      <c r="H17" s="79">
        <f>G17*B17</f>
        <v>25.916</v>
      </c>
      <c r="I17" s="81"/>
      <c r="J17" s="79"/>
      <c r="K17" s="81"/>
      <c r="L17" s="79"/>
      <c r="M17" s="81"/>
      <c r="N17" s="79"/>
      <c r="O17" s="81"/>
      <c r="P17" s="79"/>
      <c r="Q17" s="81"/>
      <c r="R17" s="79"/>
      <c r="S17" s="81"/>
      <c r="T17" s="79"/>
      <c r="U17" s="81"/>
      <c r="V17" s="79"/>
      <c r="W17" s="81"/>
      <c r="X17" s="79"/>
      <c r="Y17" s="81"/>
      <c r="Z17" s="79"/>
      <c r="AA17" s="81"/>
      <c r="AB17" s="79"/>
      <c r="AC17" s="81"/>
      <c r="AD17" s="79"/>
      <c r="AE17" s="81">
        <v>41.57</v>
      </c>
      <c r="AF17" s="79">
        <f>B17*AE17</f>
        <v>41.57</v>
      </c>
      <c r="AG17" s="81"/>
      <c r="AH17" s="79"/>
      <c r="AI17" s="81">
        <v>615</v>
      </c>
      <c r="AJ17" s="271">
        <f>AI17*B17</f>
        <v>615</v>
      </c>
      <c r="AK17" s="282"/>
      <c r="AL17" s="283"/>
      <c r="AM17" s="291">
        <v>1.4999999999999999E-2</v>
      </c>
      <c r="AN17" s="283">
        <f>AM17*B17</f>
        <v>1.4999999999999999E-2</v>
      </c>
      <c r="AO17" s="291"/>
      <c r="AP17" s="283"/>
      <c r="AQ17" s="313"/>
      <c r="AR17" s="314"/>
      <c r="AS17" s="313"/>
      <c r="AT17" s="324"/>
      <c r="AU17" s="275"/>
      <c r="AV17" s="283"/>
    </row>
    <row r="18" spans="1:48">
      <c r="A18" s="73" t="s">
        <v>128</v>
      </c>
      <c r="B18" s="87">
        <f>'Distribution Keys'!$F$86</f>
        <v>4.3453539632481025E-2</v>
      </c>
      <c r="C18" s="81">
        <v>34.430999999999997</v>
      </c>
      <c r="D18" s="79">
        <f>C18*B18</f>
        <v>1.4961488230859541</v>
      </c>
      <c r="E18" s="81">
        <v>14.701000000000001</v>
      </c>
      <c r="F18" s="79">
        <f>E18*B18</f>
        <v>0.63881048613710356</v>
      </c>
      <c r="G18" s="81">
        <v>18.844999999999999</v>
      </c>
      <c r="H18" s="79">
        <f>G18*B18</f>
        <v>0.81888195437410483</v>
      </c>
      <c r="I18" s="81">
        <v>19.2</v>
      </c>
      <c r="J18" s="79">
        <f>I18*$B18</f>
        <v>0.83430796094363568</v>
      </c>
      <c r="K18" s="81">
        <v>8.9749999999999996</v>
      </c>
      <c r="L18" s="79">
        <f>K18*B18</f>
        <v>0.38999551820151718</v>
      </c>
      <c r="M18" s="81"/>
      <c r="N18" s="79"/>
      <c r="O18" s="81">
        <v>28.876999999999999</v>
      </c>
      <c r="P18" s="79">
        <f>O18*B18</f>
        <v>1.2548078639671545</v>
      </c>
      <c r="Q18" s="81">
        <v>40.494</v>
      </c>
      <c r="R18" s="79">
        <f>Q18*B18</f>
        <v>1.7596076338776867</v>
      </c>
      <c r="S18" s="81">
        <v>20.466000000000001</v>
      </c>
      <c r="T18" s="79">
        <f>S18*B18</f>
        <v>0.88932014211835675</v>
      </c>
      <c r="U18" s="81">
        <v>23.135999999999999</v>
      </c>
      <c r="V18" s="79">
        <f>U18*B18</f>
        <v>1.005341092937081</v>
      </c>
      <c r="W18" s="81">
        <v>21.39</v>
      </c>
      <c r="X18" s="79">
        <f>W18*B18</f>
        <v>0.9294712127387692</v>
      </c>
      <c r="Y18" s="81">
        <v>46.7</v>
      </c>
      <c r="Z18" s="79">
        <f t="shared" ref="Z18:Z25" si="0">Y18*B18</f>
        <v>2.0292803008368638</v>
      </c>
      <c r="AA18" s="81">
        <v>5.6870000000000003</v>
      </c>
      <c r="AB18" s="79">
        <f t="shared" ref="AB18:AB29" si="1">B18*AA18</f>
        <v>0.24712027988991961</v>
      </c>
      <c r="AC18" s="81">
        <v>2.952</v>
      </c>
      <c r="AD18" s="79">
        <f>AC18*B18</f>
        <v>0.12827484899508398</v>
      </c>
      <c r="AE18" s="81"/>
      <c r="AF18" s="79"/>
      <c r="AG18" s="81"/>
      <c r="AH18" s="79"/>
      <c r="AI18" s="81"/>
      <c r="AJ18" s="271"/>
      <c r="AK18" s="282"/>
      <c r="AL18" s="283"/>
      <c r="AM18" s="291">
        <v>5.1999999999999998E-2</v>
      </c>
      <c r="AN18" s="283">
        <f>AM18*B18</f>
        <v>2.2595840608890133E-3</v>
      </c>
      <c r="AO18" s="291">
        <v>6.2E-2</v>
      </c>
      <c r="AP18" s="283">
        <f>AO18*B18</f>
        <v>2.6941194572138237E-3</v>
      </c>
      <c r="AQ18" s="313">
        <v>233961</v>
      </c>
      <c r="AR18" s="314">
        <f>AQ18*B18</f>
        <v>10166.433585954894</v>
      </c>
      <c r="AS18" s="313"/>
      <c r="AT18" s="324"/>
      <c r="AU18" s="275">
        <v>1.61</v>
      </c>
      <c r="AV18" s="283">
        <f>AU18*B18</f>
        <v>6.996019880829446E-2</v>
      </c>
    </row>
    <row r="19" spans="1:48">
      <c r="A19" s="74" t="s">
        <v>129</v>
      </c>
      <c r="B19" s="76">
        <f>'Distribution Keys'!F86</f>
        <v>4.3453539632481025E-2</v>
      </c>
      <c r="C19" s="83"/>
      <c r="D19" s="79"/>
      <c r="E19" s="83"/>
      <c r="F19" s="79"/>
      <c r="G19" s="80"/>
      <c r="H19" s="79"/>
      <c r="I19" s="80"/>
      <c r="J19" s="79"/>
      <c r="K19" s="80"/>
      <c r="L19" s="79"/>
      <c r="M19" s="80"/>
      <c r="N19" s="79"/>
      <c r="O19" s="80"/>
      <c r="P19" s="79"/>
      <c r="Q19" s="80"/>
      <c r="R19" s="79"/>
      <c r="S19" s="80"/>
      <c r="T19" s="79"/>
      <c r="U19" s="80"/>
      <c r="V19" s="79"/>
      <c r="W19" s="80"/>
      <c r="X19" s="79"/>
      <c r="Y19" s="80"/>
      <c r="Z19" s="79"/>
      <c r="AA19" s="80"/>
      <c r="AB19" s="79"/>
      <c r="AC19" s="80"/>
      <c r="AD19" s="79"/>
      <c r="AE19" s="80"/>
      <c r="AF19" s="79"/>
      <c r="AG19" s="80"/>
      <c r="AH19" s="79"/>
      <c r="AI19" s="80"/>
      <c r="AJ19" s="271"/>
      <c r="AK19" s="284"/>
      <c r="AL19" s="283"/>
      <c r="AM19" s="292"/>
      <c r="AN19" s="283"/>
      <c r="AO19" s="292"/>
      <c r="AP19" s="283"/>
      <c r="AQ19" s="317"/>
      <c r="AR19" s="314"/>
      <c r="AS19" s="313"/>
      <c r="AT19" s="324"/>
      <c r="AU19" s="275"/>
      <c r="AV19" s="283"/>
    </row>
    <row r="20" spans="1:48">
      <c r="A20" s="94" t="s">
        <v>130</v>
      </c>
      <c r="B20" s="87">
        <f>'Distribution Keys'!F98</f>
        <v>0.22897553036685306</v>
      </c>
      <c r="C20" s="81"/>
      <c r="D20" s="79"/>
      <c r="E20" s="81"/>
      <c r="F20" s="79"/>
      <c r="G20" s="81"/>
      <c r="H20" s="79"/>
      <c r="I20" s="81">
        <v>13.057</v>
      </c>
      <c r="J20" s="79">
        <f>I20*$B20</f>
        <v>2.9897335000000003</v>
      </c>
      <c r="K20" s="81"/>
      <c r="L20" s="79"/>
      <c r="M20" s="81"/>
      <c r="N20" s="79"/>
      <c r="O20" s="81"/>
      <c r="P20" s="79"/>
      <c r="Q20" s="81"/>
      <c r="R20" s="79"/>
      <c r="S20" s="81"/>
      <c r="T20" s="79"/>
      <c r="U20" s="81"/>
      <c r="V20" s="79"/>
      <c r="W20" s="81"/>
      <c r="X20" s="79"/>
      <c r="Y20" s="81"/>
      <c r="Z20" s="79"/>
      <c r="AA20" s="81"/>
      <c r="AB20" s="79"/>
      <c r="AC20" s="81"/>
      <c r="AD20" s="79"/>
      <c r="AE20" s="81"/>
      <c r="AF20" s="79"/>
      <c r="AG20" s="81"/>
      <c r="AH20" s="79"/>
      <c r="AI20" s="81"/>
      <c r="AJ20" s="271"/>
      <c r="AK20" s="282"/>
      <c r="AL20" s="283"/>
      <c r="AM20" s="290"/>
      <c r="AN20" s="283"/>
      <c r="AO20" s="290"/>
      <c r="AP20" s="283"/>
      <c r="AQ20" s="313"/>
      <c r="AR20" s="314"/>
      <c r="AS20" s="313"/>
      <c r="AT20" s="324"/>
      <c r="AU20" s="275"/>
      <c r="AV20" s="283"/>
    </row>
    <row r="21" spans="1:48">
      <c r="A21" s="73" t="s">
        <v>131</v>
      </c>
      <c r="B21" s="87">
        <f>'Distribution Keys'!F227</f>
        <v>0.12264784246967571</v>
      </c>
      <c r="C21" s="81"/>
      <c r="D21" s="79"/>
      <c r="E21" s="81"/>
      <c r="F21" s="79"/>
      <c r="G21" s="81"/>
      <c r="H21" s="79"/>
      <c r="I21" s="81">
        <v>15</v>
      </c>
      <c r="J21" s="79">
        <f>I21*$B21</f>
        <v>1.8397176370451356</v>
      </c>
      <c r="K21" s="81"/>
      <c r="L21" s="79"/>
      <c r="M21" s="265">
        <f>18.701*0.5</f>
        <v>9.3505000000000003</v>
      </c>
      <c r="N21" s="79">
        <f>M21*B21</f>
        <v>1.1468186510127027</v>
      </c>
      <c r="O21" s="81"/>
      <c r="P21" s="79"/>
      <c r="Q21" s="81"/>
      <c r="R21" s="79"/>
      <c r="S21" s="81"/>
      <c r="T21" s="79"/>
      <c r="U21" s="81"/>
      <c r="V21" s="79"/>
      <c r="W21" s="81"/>
      <c r="X21" s="79"/>
      <c r="Y21" s="81"/>
      <c r="Z21" s="79"/>
      <c r="AA21" s="81"/>
      <c r="AB21" s="79"/>
      <c r="AC21" s="81"/>
      <c r="AD21" s="79"/>
      <c r="AE21" s="81">
        <v>13.917</v>
      </c>
      <c r="AF21" s="79">
        <f>B21*AE21</f>
        <v>1.7068900236504767</v>
      </c>
      <c r="AG21" s="81">
        <v>33</v>
      </c>
      <c r="AH21" s="79">
        <f>AG21*B21</f>
        <v>4.0473788014992982</v>
      </c>
      <c r="AI21" s="81"/>
      <c r="AJ21" s="271"/>
      <c r="AK21" s="282"/>
      <c r="AL21" s="283"/>
      <c r="AM21" s="291">
        <v>1.2999999999999999E-2</v>
      </c>
      <c r="AN21" s="283">
        <f>AM21*B21</f>
        <v>1.5944219521057841E-3</v>
      </c>
      <c r="AO21" s="290"/>
      <c r="AP21" s="283"/>
      <c r="AQ21" s="313"/>
      <c r="AR21" s="314"/>
      <c r="AS21" s="313"/>
      <c r="AT21" s="324"/>
      <c r="AU21" s="275">
        <v>6.22</v>
      </c>
      <c r="AV21" s="283">
        <f>AU21*B21</f>
        <v>0.76286958016138284</v>
      </c>
    </row>
    <row r="22" spans="1:48">
      <c r="A22" s="73" t="s">
        <v>132</v>
      </c>
      <c r="B22" s="87">
        <f>'Distribution Keys'!F226</f>
        <v>0.13514779442193114</v>
      </c>
      <c r="C22" s="81">
        <v>68.093000000000004</v>
      </c>
      <c r="D22" s="79">
        <f>C22*B22</f>
        <v>9.2026187655725575</v>
      </c>
      <c r="E22" s="81">
        <v>36.81</v>
      </c>
      <c r="F22" s="79">
        <f>E22*B22</f>
        <v>4.9747903126712858</v>
      </c>
      <c r="G22" s="81">
        <v>25.14</v>
      </c>
      <c r="H22" s="79">
        <f>G22*B22</f>
        <v>3.3976155517673492</v>
      </c>
      <c r="I22" s="81"/>
      <c r="J22" s="79"/>
      <c r="K22" s="81">
        <v>11.586</v>
      </c>
      <c r="L22" s="79">
        <f>K22*B22</f>
        <v>1.5658223461724943</v>
      </c>
      <c r="M22" s="81"/>
      <c r="N22" s="79"/>
      <c r="O22" s="81">
        <v>13.218999999999999</v>
      </c>
      <c r="P22" s="79">
        <f>O22*B22</f>
        <v>1.7865186944635076</v>
      </c>
      <c r="Q22" s="81">
        <v>23.361000000000001</v>
      </c>
      <c r="R22" s="79">
        <f>Q22*B22</f>
        <v>3.1571876254907334</v>
      </c>
      <c r="S22" s="81">
        <v>16.917000000000002</v>
      </c>
      <c r="T22" s="79">
        <f>S22*B22</f>
        <v>2.2862952382358093</v>
      </c>
      <c r="U22" s="81">
        <v>16.693999999999999</v>
      </c>
      <c r="V22" s="79">
        <f>U22*B22</f>
        <v>2.2561572800797185</v>
      </c>
      <c r="W22" s="81">
        <v>36.630000000000003</v>
      </c>
      <c r="X22" s="79">
        <f>W22*B22</f>
        <v>4.9504637096753381</v>
      </c>
      <c r="Y22" s="81">
        <v>44.8</v>
      </c>
      <c r="Z22" s="79">
        <f t="shared" si="0"/>
        <v>6.0546211901025151</v>
      </c>
      <c r="AA22" s="81">
        <v>9.4580000000000002</v>
      </c>
      <c r="AB22" s="79">
        <f t="shared" si="1"/>
        <v>1.2782278396426248</v>
      </c>
      <c r="AC22" s="81">
        <v>5.915</v>
      </c>
      <c r="AD22" s="79">
        <f>AC22*B22</f>
        <v>0.79939920400572273</v>
      </c>
      <c r="AE22" s="81"/>
      <c r="AF22" s="79"/>
      <c r="AG22" s="81"/>
      <c r="AH22" s="79"/>
      <c r="AI22" s="81"/>
      <c r="AJ22" s="271"/>
      <c r="AK22" s="285"/>
      <c r="AL22" s="283"/>
      <c r="AM22" s="290"/>
      <c r="AN22" s="283"/>
      <c r="AO22" s="291">
        <v>0.06</v>
      </c>
      <c r="AP22" s="283">
        <f>AO22*B22</f>
        <v>8.1088676653158689E-3</v>
      </c>
      <c r="AQ22" s="313"/>
      <c r="AR22" s="314"/>
      <c r="AS22" s="313">
        <v>193346</v>
      </c>
      <c r="AT22" s="324">
        <f>AS22*B22</f>
        <v>26130.285460302701</v>
      </c>
      <c r="AU22" s="275"/>
      <c r="AV22" s="283"/>
    </row>
    <row r="23" spans="1:48">
      <c r="A23" s="73" t="s">
        <v>133</v>
      </c>
      <c r="B23" s="87">
        <f>'Distribution Keys'!F226</f>
        <v>0.13514779442193114</v>
      </c>
      <c r="C23" s="81"/>
      <c r="D23" s="79"/>
      <c r="E23" s="81"/>
      <c r="F23" s="79"/>
      <c r="G23" s="81"/>
      <c r="H23" s="79"/>
      <c r="I23" s="81"/>
      <c r="J23" s="79"/>
      <c r="K23" s="81"/>
      <c r="L23" s="79"/>
      <c r="M23" s="81"/>
      <c r="N23" s="79"/>
      <c r="O23" s="81"/>
      <c r="P23" s="79"/>
      <c r="Q23" s="81"/>
      <c r="R23" s="79"/>
      <c r="S23" s="81"/>
      <c r="T23" s="79"/>
      <c r="U23" s="81"/>
      <c r="V23" s="79"/>
      <c r="W23" s="81"/>
      <c r="X23" s="79"/>
      <c r="Y23" s="81"/>
      <c r="Z23" s="79"/>
      <c r="AA23" s="81"/>
      <c r="AB23" s="79"/>
      <c r="AC23" s="81"/>
      <c r="AD23" s="79"/>
      <c r="AE23" s="81"/>
      <c r="AF23" s="79"/>
      <c r="AG23" s="81"/>
      <c r="AH23" s="79"/>
      <c r="AI23" s="81">
        <v>224</v>
      </c>
      <c r="AJ23" s="271">
        <f>AI23*B23</f>
        <v>30.273105950512576</v>
      </c>
      <c r="AK23" s="282"/>
      <c r="AL23" s="283"/>
      <c r="AM23" s="290"/>
      <c r="AN23" s="283"/>
      <c r="AO23" s="290"/>
      <c r="AP23" s="283"/>
      <c r="AQ23" s="318">
        <v>1689787</v>
      </c>
      <c r="AR23" s="314">
        <f>AQ23*B23</f>
        <v>228370.98609285176</v>
      </c>
      <c r="AS23" s="313"/>
      <c r="AT23" s="324"/>
      <c r="AU23" s="275"/>
      <c r="AV23" s="283"/>
    </row>
    <row r="24" spans="1:48">
      <c r="A24" s="73" t="s">
        <v>134</v>
      </c>
      <c r="B24" s="87">
        <f>'Distribution Keys'!C231</f>
        <v>9.321512378941002E-2</v>
      </c>
      <c r="C24" s="81"/>
      <c r="D24" s="79"/>
      <c r="E24" s="81"/>
      <c r="F24" s="79"/>
      <c r="G24" s="81"/>
      <c r="H24" s="79"/>
      <c r="I24" s="81"/>
      <c r="J24" s="79"/>
      <c r="K24" s="81"/>
      <c r="L24" s="79"/>
      <c r="M24" s="81"/>
      <c r="N24" s="79"/>
      <c r="O24" s="81"/>
      <c r="P24" s="79"/>
      <c r="Q24" s="81"/>
      <c r="R24" s="79"/>
      <c r="S24" s="81"/>
      <c r="T24" s="79"/>
      <c r="U24" s="81"/>
      <c r="V24" s="79"/>
      <c r="W24" s="81"/>
      <c r="X24" s="79"/>
      <c r="Y24" s="81"/>
      <c r="Z24" s="79"/>
      <c r="AA24" s="81"/>
      <c r="AB24" s="79"/>
      <c r="AC24" s="81"/>
      <c r="AD24" s="79"/>
      <c r="AE24" s="81"/>
      <c r="AF24" s="79"/>
      <c r="AG24" s="81"/>
      <c r="AH24" s="79"/>
      <c r="AI24" s="81"/>
      <c r="AJ24" s="271"/>
      <c r="AK24" s="282">
        <f>AK41*21%</f>
        <v>145.32</v>
      </c>
      <c r="AL24" s="283">
        <f>AK24*B24</f>
        <v>13.546021789077063</v>
      </c>
      <c r="AM24" s="290"/>
      <c r="AN24" s="283"/>
      <c r="AO24" s="290"/>
      <c r="AP24" s="283"/>
      <c r="AQ24" s="313"/>
      <c r="AR24" s="314"/>
      <c r="AS24" s="313"/>
      <c r="AT24" s="324"/>
      <c r="AU24" s="275"/>
      <c r="AV24" s="283"/>
    </row>
    <row r="25" spans="1:48">
      <c r="A25" s="74" t="s">
        <v>135</v>
      </c>
      <c r="B25" s="76">
        <f>'Distribution Keys'!F386</f>
        <v>6.3782405109144347E-2</v>
      </c>
      <c r="C25" s="83"/>
      <c r="D25" s="79"/>
      <c r="E25" s="83">
        <v>96.5</v>
      </c>
      <c r="F25" s="79">
        <f>E25*B25</f>
        <v>6.1550020930324294</v>
      </c>
      <c r="G25" s="80"/>
      <c r="H25" s="79"/>
      <c r="I25" s="80"/>
      <c r="J25" s="79"/>
      <c r="K25" s="80">
        <v>96.715999999999994</v>
      </c>
      <c r="L25" s="79">
        <f>K25*B25</f>
        <v>6.1687790925360044</v>
      </c>
      <c r="M25" s="80">
        <v>110.875</v>
      </c>
      <c r="N25" s="79">
        <f>M25*B25</f>
        <v>7.0718741664763796</v>
      </c>
      <c r="O25" s="80">
        <v>89.55</v>
      </c>
      <c r="P25" s="79">
        <f>O25*B25</f>
        <v>5.7117143775238759</v>
      </c>
      <c r="Q25" s="80">
        <v>151.762</v>
      </c>
      <c r="R25" s="79">
        <f>Q25*B25</f>
        <v>9.6797453641739644</v>
      </c>
      <c r="S25" s="83">
        <v>64.593000000000004</v>
      </c>
      <c r="T25" s="79">
        <f>S25*B25</f>
        <v>4.1198968932149613</v>
      </c>
      <c r="U25" s="80">
        <v>84.941999999999993</v>
      </c>
      <c r="V25" s="79">
        <f>U25*B25</f>
        <v>5.4178050547809384</v>
      </c>
      <c r="W25" s="80">
        <v>176.92</v>
      </c>
      <c r="X25" s="79">
        <f>W25*B25</f>
        <v>11.284383111909817</v>
      </c>
      <c r="Y25" s="80">
        <v>261.7</v>
      </c>
      <c r="Z25" s="79">
        <f t="shared" si="0"/>
        <v>16.691855417063074</v>
      </c>
      <c r="AA25" s="80">
        <v>42.218000000000004</v>
      </c>
      <c r="AB25" s="79">
        <f t="shared" si="1"/>
        <v>2.6927655788978564</v>
      </c>
      <c r="AC25" s="80">
        <v>3.99</v>
      </c>
      <c r="AD25" s="79">
        <f>AC25*B25</f>
        <v>0.25449179638548597</v>
      </c>
      <c r="AE25" s="80">
        <v>58.25</v>
      </c>
      <c r="AF25" s="79">
        <f>B25*AE25</f>
        <v>3.7153250976076584</v>
      </c>
      <c r="AG25" s="80"/>
      <c r="AH25" s="79"/>
      <c r="AI25" s="80"/>
      <c r="AJ25" s="271"/>
      <c r="AK25" s="284"/>
      <c r="AL25" s="283"/>
      <c r="AM25" s="291">
        <v>6.9000000000000006E-2</v>
      </c>
      <c r="AN25" s="293">
        <f>AM25*B25</f>
        <v>4.40098595253096E-3</v>
      </c>
      <c r="AO25" s="291">
        <v>0.111</v>
      </c>
      <c r="AP25" s="283">
        <f>AO25*B25</f>
        <v>7.0798469671150225E-3</v>
      </c>
      <c r="AQ25" s="317">
        <v>1291327</v>
      </c>
      <c r="AR25" s="314">
        <f>AQ25*B25</f>
        <v>82363.941842376036</v>
      </c>
      <c r="AS25" s="313">
        <v>77220</v>
      </c>
      <c r="AT25" s="324">
        <f>AS25*B25</f>
        <v>4925.2773225281262</v>
      </c>
      <c r="AU25" s="275">
        <v>27.94</v>
      </c>
      <c r="AV25" s="283">
        <f>AU25*B25</f>
        <v>1.7820803987494931</v>
      </c>
    </row>
    <row r="26" spans="1:48">
      <c r="A26" s="241" t="s">
        <v>136</v>
      </c>
      <c r="B26" s="242">
        <f>B25</f>
        <v>6.3782405109144347E-2</v>
      </c>
      <c r="C26" s="83"/>
      <c r="D26" s="79"/>
      <c r="E26" s="83"/>
      <c r="F26" s="79"/>
      <c r="G26" s="80"/>
      <c r="H26" s="79"/>
      <c r="I26" s="80"/>
      <c r="J26" s="79"/>
      <c r="K26" s="80"/>
      <c r="L26" s="79"/>
      <c r="M26" s="80"/>
      <c r="N26" s="79"/>
      <c r="O26" s="80"/>
      <c r="P26" s="79"/>
      <c r="Q26" s="80"/>
      <c r="R26" s="79"/>
      <c r="S26" s="83"/>
      <c r="T26" s="79"/>
      <c r="U26" s="80"/>
      <c r="V26" s="79"/>
      <c r="W26" s="80"/>
      <c r="X26" s="79"/>
      <c r="Y26" s="80"/>
      <c r="Z26" s="79"/>
      <c r="AA26" s="80"/>
      <c r="AB26" s="79"/>
      <c r="AC26" s="80"/>
      <c r="AD26" s="79"/>
      <c r="AE26" s="80"/>
      <c r="AF26" s="79"/>
      <c r="AG26" s="80"/>
      <c r="AH26" s="79"/>
      <c r="AI26" s="80">
        <v>36</v>
      </c>
      <c r="AJ26" s="271">
        <f>AI26*B26</f>
        <v>2.2961665839291965</v>
      </c>
      <c r="AK26" s="284"/>
      <c r="AL26" s="283"/>
      <c r="AM26" s="292"/>
      <c r="AN26" s="283"/>
      <c r="AO26" s="292"/>
      <c r="AP26" s="283"/>
      <c r="AQ26" s="317"/>
      <c r="AR26" s="314"/>
      <c r="AS26" s="313"/>
      <c r="AT26" s="324"/>
      <c r="AU26" s="275"/>
      <c r="AV26" s="283"/>
    </row>
    <row r="27" spans="1:48">
      <c r="A27" s="74" t="s">
        <v>137</v>
      </c>
      <c r="B27" s="76">
        <f>'Distribution Keys'!C391</f>
        <v>6.3782405109144347E-2</v>
      </c>
      <c r="C27" s="83"/>
      <c r="D27" s="79"/>
      <c r="E27" s="83"/>
      <c r="F27" s="79"/>
      <c r="G27" s="83">
        <v>14.855</v>
      </c>
      <c r="H27" s="79">
        <f>G27*B27</f>
        <v>0.94748762789633934</v>
      </c>
      <c r="I27" s="80"/>
      <c r="J27" s="79"/>
      <c r="K27" s="80"/>
      <c r="L27" s="79"/>
      <c r="M27" s="80"/>
      <c r="N27" s="79"/>
      <c r="O27" s="80"/>
      <c r="P27" s="79"/>
      <c r="Q27" s="80"/>
      <c r="R27" s="79"/>
      <c r="S27" s="80"/>
      <c r="T27" s="79"/>
      <c r="U27" s="80"/>
      <c r="V27" s="79"/>
      <c r="W27" s="80"/>
      <c r="X27" s="79"/>
      <c r="Y27" s="80"/>
      <c r="Z27" s="79"/>
      <c r="AA27" s="80"/>
      <c r="AB27" s="79"/>
      <c r="AC27" s="80"/>
      <c r="AD27" s="79"/>
      <c r="AE27" s="80"/>
      <c r="AF27" s="79"/>
      <c r="AG27" s="80"/>
      <c r="AH27" s="79"/>
      <c r="AI27" s="80"/>
      <c r="AJ27" s="271"/>
      <c r="AK27" s="284"/>
      <c r="AL27" s="283"/>
      <c r="AM27" s="292"/>
      <c r="AN27" s="283"/>
      <c r="AO27" s="292"/>
      <c r="AP27" s="283"/>
      <c r="AQ27" s="317"/>
      <c r="AR27" s="314"/>
      <c r="AS27" s="313"/>
      <c r="AT27" s="324"/>
      <c r="AU27" s="275"/>
      <c r="AV27" s="283"/>
    </row>
    <row r="28" spans="1:48">
      <c r="A28" s="74" t="s">
        <v>138</v>
      </c>
      <c r="B28" s="76">
        <f>'Distribution Keys'!F25</f>
        <v>0.79761342921764677</v>
      </c>
      <c r="C28" s="83"/>
      <c r="D28" s="79"/>
      <c r="E28" s="83">
        <v>26.521999999999998</v>
      </c>
      <c r="F28" s="79">
        <f>E28*B28</f>
        <v>21.154303369710426</v>
      </c>
      <c r="G28" s="80"/>
      <c r="H28" s="79"/>
      <c r="I28" s="80"/>
      <c r="J28" s="79"/>
      <c r="K28" s="80"/>
      <c r="L28" s="79"/>
      <c r="M28" s="80"/>
      <c r="N28" s="79"/>
      <c r="O28" s="80"/>
      <c r="P28" s="79"/>
      <c r="Q28" s="80"/>
      <c r="R28" s="79"/>
      <c r="S28" s="80"/>
      <c r="T28" s="79"/>
      <c r="U28" s="80"/>
      <c r="V28" s="79"/>
      <c r="W28" s="80"/>
      <c r="X28" s="79"/>
      <c r="Y28" s="80"/>
      <c r="Z28" s="79"/>
      <c r="AA28" s="80"/>
      <c r="AB28" s="79"/>
      <c r="AC28" s="80"/>
      <c r="AD28" s="79"/>
      <c r="AE28" s="80"/>
      <c r="AF28" s="79"/>
      <c r="AG28" s="80"/>
      <c r="AH28" s="79"/>
      <c r="AI28" s="80"/>
      <c r="AJ28" s="271"/>
      <c r="AK28" s="284"/>
      <c r="AL28" s="283"/>
      <c r="AM28" s="292"/>
      <c r="AN28" s="283"/>
      <c r="AO28" s="292"/>
      <c r="AP28" s="283"/>
      <c r="AQ28" s="317">
        <v>900036</v>
      </c>
      <c r="AR28" s="314">
        <f>AQ28*B28</f>
        <v>717880.8003793339</v>
      </c>
      <c r="AS28" s="313"/>
      <c r="AT28" s="324"/>
      <c r="AU28" s="275"/>
      <c r="AV28" s="283"/>
    </row>
    <row r="29" spans="1:48">
      <c r="A29" s="74" t="s">
        <v>139</v>
      </c>
      <c r="B29" s="76">
        <f>'Distribution Keys'!F157</f>
        <v>0.79865395824836594</v>
      </c>
      <c r="C29" s="83"/>
      <c r="D29" s="79"/>
      <c r="E29" s="83">
        <v>21.579000000000001</v>
      </c>
      <c r="F29" s="79">
        <f>E29*B29</f>
        <v>17.234153765041491</v>
      </c>
      <c r="G29" s="80"/>
      <c r="H29" s="79"/>
      <c r="I29" s="80"/>
      <c r="J29" s="79"/>
      <c r="K29" s="80">
        <v>9.2370000000000001</v>
      </c>
      <c r="L29" s="79">
        <f>K29*B29</f>
        <v>7.3771666123401562</v>
      </c>
      <c r="M29" s="80"/>
      <c r="N29" s="79"/>
      <c r="O29" s="80">
        <v>13.14</v>
      </c>
      <c r="P29" s="79">
        <f>O29*B29</f>
        <v>10.494313011383529</v>
      </c>
      <c r="Q29" s="80"/>
      <c r="R29" s="79"/>
      <c r="S29" s="83">
        <f>(24.799*0.8)</f>
        <v>19.839200000000002</v>
      </c>
      <c r="T29" s="79">
        <f>S29*B29</f>
        <v>15.844655608480982</v>
      </c>
      <c r="U29" s="80">
        <v>7.8140000000000001</v>
      </c>
      <c r="V29" s="79">
        <f>U29*B29</f>
        <v>6.2406820297527315</v>
      </c>
      <c r="W29" s="80">
        <v>23.75</v>
      </c>
      <c r="X29" s="79">
        <f>W29*B29</f>
        <v>18.968031508398692</v>
      </c>
      <c r="Y29" s="80"/>
      <c r="Z29" s="79"/>
      <c r="AA29" s="80">
        <v>12.834</v>
      </c>
      <c r="AB29" s="79">
        <f t="shared" si="1"/>
        <v>10.249924900159527</v>
      </c>
      <c r="AC29" s="80">
        <f>0.647</f>
        <v>0.64700000000000002</v>
      </c>
      <c r="AD29" s="79">
        <f>AC29*B29</f>
        <v>0.51672911098669283</v>
      </c>
      <c r="AE29" s="80"/>
      <c r="AF29" s="79"/>
      <c r="AG29" s="80"/>
      <c r="AH29" s="79"/>
      <c r="AI29" s="80"/>
      <c r="AJ29" s="271"/>
      <c r="AK29" s="284"/>
      <c r="AL29" s="283"/>
      <c r="AM29" s="291">
        <v>2.5000000000000001E-2</v>
      </c>
      <c r="AN29" s="283">
        <f>AM29*B29</f>
        <v>1.9966348956209148E-2</v>
      </c>
      <c r="AO29" s="291">
        <v>2.5000000000000001E-2</v>
      </c>
      <c r="AP29" s="283">
        <f>AO29*B29</f>
        <v>1.9966348956209148E-2</v>
      </c>
      <c r="AQ29" s="317"/>
      <c r="AR29" s="314"/>
      <c r="AS29" s="313"/>
      <c r="AT29" s="324"/>
      <c r="AU29" s="275"/>
      <c r="AV29" s="283"/>
    </row>
    <row r="30" spans="1:48">
      <c r="A30" s="74" t="s">
        <v>140</v>
      </c>
      <c r="B30" s="76">
        <f>'Distribution Keys'!E164</f>
        <v>0.61149046868627444</v>
      </c>
      <c r="C30" s="83"/>
      <c r="D30" s="79"/>
      <c r="E30" s="83"/>
      <c r="F30" s="79"/>
      <c r="G30" s="80"/>
      <c r="H30" s="79"/>
      <c r="I30" s="80"/>
      <c r="J30" s="79"/>
      <c r="K30" s="80"/>
      <c r="L30" s="79"/>
      <c r="M30" s="80"/>
      <c r="N30" s="79"/>
      <c r="O30" s="80"/>
      <c r="P30" s="79"/>
      <c r="Q30" s="80"/>
      <c r="R30" s="79"/>
      <c r="S30" s="83"/>
      <c r="T30" s="79"/>
      <c r="U30" s="80"/>
      <c r="V30" s="79"/>
      <c r="W30" s="80"/>
      <c r="X30" s="79"/>
      <c r="Y30" s="80"/>
      <c r="Z30" s="79"/>
      <c r="AA30" s="80"/>
      <c r="AB30" s="79"/>
      <c r="AC30" s="80"/>
      <c r="AD30" s="79"/>
      <c r="AE30" s="80"/>
      <c r="AF30" s="79"/>
      <c r="AG30" s="80"/>
      <c r="AH30" s="79"/>
      <c r="AI30" s="80"/>
      <c r="AJ30" s="271"/>
      <c r="AK30" s="284">
        <f>AK41*11%</f>
        <v>76.12</v>
      </c>
      <c r="AL30" s="283">
        <f>AK30*B30</f>
        <v>46.546654476399212</v>
      </c>
      <c r="AM30" s="292"/>
      <c r="AN30" s="283"/>
      <c r="AO30" s="292"/>
      <c r="AP30" s="283"/>
      <c r="AQ30" s="317"/>
      <c r="AR30" s="314"/>
      <c r="AS30" s="313"/>
      <c r="AT30" s="324"/>
      <c r="AU30" s="276"/>
      <c r="AV30" s="283"/>
    </row>
    <row r="31" spans="1:48">
      <c r="A31" s="74" t="s">
        <v>141</v>
      </c>
      <c r="B31" s="76">
        <f>'Distribution Keys'!F193</f>
        <v>0.27455131941612193</v>
      </c>
      <c r="C31" s="83"/>
      <c r="D31" s="79"/>
      <c r="E31" s="83"/>
      <c r="F31" s="79"/>
      <c r="G31" s="80"/>
      <c r="H31" s="79"/>
      <c r="I31" s="80"/>
      <c r="J31" s="79"/>
      <c r="K31" s="80"/>
      <c r="L31" s="79"/>
      <c r="M31" s="80"/>
      <c r="N31" s="79"/>
      <c r="O31" s="80"/>
      <c r="P31" s="79"/>
      <c r="Q31" s="80"/>
      <c r="R31" s="79"/>
      <c r="S31" s="83"/>
      <c r="T31" s="79"/>
      <c r="U31" s="80"/>
      <c r="V31" s="79"/>
      <c r="W31" s="80"/>
      <c r="X31" s="79"/>
      <c r="Y31" s="80"/>
      <c r="Z31" s="79"/>
      <c r="AA31" s="80"/>
      <c r="AB31" s="79"/>
      <c r="AC31" s="80"/>
      <c r="AD31" s="79"/>
      <c r="AE31" s="83">
        <v>15.337</v>
      </c>
      <c r="AF31" s="79">
        <f>AE31*B31</f>
        <v>4.210793585885062</v>
      </c>
      <c r="AG31" s="80"/>
      <c r="AH31" s="79"/>
      <c r="AI31" s="80"/>
      <c r="AJ31" s="271"/>
      <c r="AK31" s="284"/>
      <c r="AL31" s="283"/>
      <c r="AM31" s="292"/>
      <c r="AN31" s="283"/>
      <c r="AO31" s="292"/>
      <c r="AP31" s="283"/>
      <c r="AQ31" s="317"/>
      <c r="AR31" s="314"/>
      <c r="AS31" s="313"/>
      <c r="AT31" s="324"/>
      <c r="AU31" s="276"/>
      <c r="AV31" s="283"/>
    </row>
    <row r="32" spans="1:48">
      <c r="A32" s="74" t="s">
        <v>142</v>
      </c>
      <c r="B32" s="90">
        <f>'Distribution Keys'!$C$103</f>
        <v>0.05</v>
      </c>
      <c r="C32" s="83">
        <v>30.905000000000001</v>
      </c>
      <c r="D32" s="79">
        <f>C32*B32</f>
        <v>1.5452500000000002</v>
      </c>
      <c r="E32" s="83"/>
      <c r="F32" s="79"/>
      <c r="G32" s="80"/>
      <c r="H32" s="79"/>
      <c r="I32" s="80"/>
      <c r="J32" s="79"/>
      <c r="K32" s="80"/>
      <c r="L32" s="79"/>
      <c r="M32" s="80"/>
      <c r="N32" s="79"/>
      <c r="O32" s="80"/>
      <c r="P32" s="79"/>
      <c r="Q32" s="80"/>
      <c r="R32" s="79"/>
      <c r="S32" s="80"/>
      <c r="T32" s="79"/>
      <c r="U32" s="80"/>
      <c r="V32" s="79"/>
      <c r="W32" s="80"/>
      <c r="X32" s="79"/>
      <c r="Y32" s="80"/>
      <c r="Z32" s="79"/>
      <c r="AA32" s="80"/>
      <c r="AB32" s="79"/>
      <c r="AC32" s="80"/>
      <c r="AD32" s="79"/>
      <c r="AE32" s="80"/>
      <c r="AF32" s="79"/>
      <c r="AG32" s="80"/>
      <c r="AH32" s="79"/>
      <c r="AI32" s="80"/>
      <c r="AJ32" s="271"/>
      <c r="AK32" s="284"/>
      <c r="AL32" s="283"/>
      <c r="AM32" s="292"/>
      <c r="AN32" s="283"/>
      <c r="AO32" s="292"/>
      <c r="AP32" s="283"/>
      <c r="AQ32" s="317"/>
      <c r="AR32" s="314"/>
      <c r="AS32" s="313"/>
      <c r="AT32" s="324"/>
      <c r="AU32" s="276"/>
      <c r="AV32" s="283"/>
    </row>
    <row r="33" spans="1:48">
      <c r="A33" s="74" t="s">
        <v>143</v>
      </c>
      <c r="B33" s="90">
        <f>'Distribution Keys'!C108</f>
        <v>0.05</v>
      </c>
      <c r="C33" s="83"/>
      <c r="D33" s="79"/>
      <c r="E33" s="83"/>
      <c r="F33" s="79"/>
      <c r="G33" s="83">
        <v>14.063000000000001</v>
      </c>
      <c r="H33" s="79">
        <f>G33*B33</f>
        <v>0.70315000000000005</v>
      </c>
      <c r="I33" s="80"/>
      <c r="J33" s="79"/>
      <c r="K33" s="80"/>
      <c r="L33" s="79"/>
      <c r="M33" s="80"/>
      <c r="N33" s="79"/>
      <c r="O33" s="80"/>
      <c r="P33" s="79"/>
      <c r="Q33" s="80"/>
      <c r="R33" s="79"/>
      <c r="S33" s="80"/>
      <c r="T33" s="79"/>
      <c r="U33" s="80"/>
      <c r="V33" s="79"/>
      <c r="W33" s="80"/>
      <c r="X33" s="79"/>
      <c r="Y33" s="80"/>
      <c r="Z33" s="79"/>
      <c r="AA33" s="80"/>
      <c r="AB33" s="79"/>
      <c r="AC33" s="80"/>
      <c r="AD33" s="79"/>
      <c r="AE33" s="83"/>
      <c r="AF33" s="79"/>
      <c r="AG33" s="80"/>
      <c r="AH33" s="79"/>
      <c r="AI33" s="80"/>
      <c r="AJ33" s="271"/>
      <c r="AK33" s="284"/>
      <c r="AL33" s="283"/>
      <c r="AM33" s="292"/>
      <c r="AN33" s="283"/>
      <c r="AO33" s="292"/>
      <c r="AP33" s="283"/>
      <c r="AQ33" s="317"/>
      <c r="AR33" s="314"/>
      <c r="AS33" s="313"/>
      <c r="AT33" s="324"/>
      <c r="AU33" s="276"/>
      <c r="AV33" s="283"/>
    </row>
    <row r="34" spans="1:48">
      <c r="A34" s="74" t="s">
        <v>144</v>
      </c>
      <c r="B34" s="90">
        <f>'Distribution Keys'!C198</f>
        <v>0.05</v>
      </c>
      <c r="C34" s="83"/>
      <c r="D34" s="79"/>
      <c r="E34" s="83"/>
      <c r="F34" s="79"/>
      <c r="G34" s="83">
        <v>7.8090000000000002</v>
      </c>
      <c r="H34" s="79">
        <f>G34*B34</f>
        <v>0.39045000000000002</v>
      </c>
      <c r="I34" s="80"/>
      <c r="J34" s="79"/>
      <c r="K34" s="80"/>
      <c r="L34" s="79"/>
      <c r="M34" s="80"/>
      <c r="N34" s="79"/>
      <c r="O34" s="80"/>
      <c r="P34" s="79"/>
      <c r="Q34" s="80"/>
      <c r="R34" s="79"/>
      <c r="S34" s="80"/>
      <c r="T34" s="79"/>
      <c r="U34" s="80"/>
      <c r="V34" s="79"/>
      <c r="W34" s="80"/>
      <c r="X34" s="79"/>
      <c r="Y34" s="80"/>
      <c r="Z34" s="79"/>
      <c r="AA34" s="80"/>
      <c r="AB34" s="79"/>
      <c r="AC34" s="80"/>
      <c r="AD34" s="79"/>
      <c r="AE34" s="83">
        <f>17.276</f>
        <v>17.276</v>
      </c>
      <c r="AF34" s="79">
        <f>AE34*B34</f>
        <v>0.86380000000000001</v>
      </c>
      <c r="AG34" s="80"/>
      <c r="AH34" s="79"/>
      <c r="AI34" s="80"/>
      <c r="AJ34" s="271"/>
      <c r="AK34" s="284"/>
      <c r="AL34" s="283"/>
      <c r="AM34" s="292"/>
      <c r="AN34" s="283"/>
      <c r="AO34" s="292"/>
      <c r="AP34" s="283"/>
      <c r="AQ34" s="317"/>
      <c r="AR34" s="314"/>
      <c r="AS34" s="313"/>
      <c r="AT34" s="324"/>
      <c r="AU34" s="276"/>
      <c r="AV34" s="283"/>
    </row>
    <row r="35" spans="1:48">
      <c r="A35" s="74" t="s">
        <v>145</v>
      </c>
      <c r="B35" s="76">
        <f>'Distribution Keys'!C133</f>
        <v>0.38007042603768398</v>
      </c>
      <c r="C35" s="83"/>
      <c r="D35" s="79"/>
      <c r="E35" s="83"/>
      <c r="F35" s="79"/>
      <c r="G35" s="83">
        <v>25.213999999999999</v>
      </c>
      <c r="H35" s="79">
        <f>G35*B35</f>
        <v>9.5830957221141642</v>
      </c>
      <c r="I35" s="80"/>
      <c r="J35" s="79"/>
      <c r="K35" s="80"/>
      <c r="L35" s="79"/>
      <c r="M35" s="80"/>
      <c r="N35" s="79"/>
      <c r="O35" s="80"/>
      <c r="P35" s="79"/>
      <c r="Q35" s="80"/>
      <c r="R35" s="79"/>
      <c r="S35" s="80"/>
      <c r="T35" s="79"/>
      <c r="U35" s="80"/>
      <c r="V35" s="79"/>
      <c r="W35" s="80"/>
      <c r="X35" s="79"/>
      <c r="Y35" s="80"/>
      <c r="Z35" s="79"/>
      <c r="AA35" s="80"/>
      <c r="AB35" s="79"/>
      <c r="AC35" s="80"/>
      <c r="AD35" s="79"/>
      <c r="AF35" s="79"/>
      <c r="AG35" s="80"/>
      <c r="AH35" s="79"/>
      <c r="AI35" s="80"/>
      <c r="AJ35" s="271"/>
      <c r="AK35" s="284"/>
      <c r="AL35" s="283"/>
      <c r="AM35" s="292"/>
      <c r="AN35" s="283"/>
      <c r="AO35" s="292"/>
      <c r="AP35" s="283"/>
      <c r="AQ35" s="317"/>
      <c r="AR35" s="314"/>
      <c r="AS35" s="313"/>
      <c r="AT35" s="324"/>
      <c r="AU35" s="276"/>
      <c r="AV35" s="283"/>
    </row>
    <row r="36" spans="1:48">
      <c r="A36" s="74" t="s">
        <v>146</v>
      </c>
      <c r="B36" s="76">
        <f>'Distribution Keys'!F128</f>
        <v>0.38007042603768398</v>
      </c>
      <c r="C36" s="83">
        <v>40.531999999999996</v>
      </c>
      <c r="D36" s="79">
        <f>C36*B36</f>
        <v>15.405014508159406</v>
      </c>
      <c r="E36" s="83"/>
      <c r="F36" s="79"/>
      <c r="G36" s="80"/>
      <c r="H36" s="79"/>
      <c r="I36" s="80"/>
      <c r="J36" s="79"/>
      <c r="K36" s="80"/>
      <c r="L36" s="79"/>
      <c r="M36" s="80"/>
      <c r="N36" s="79"/>
      <c r="O36" s="80"/>
      <c r="P36" s="79"/>
      <c r="Q36" s="80"/>
      <c r="R36" s="79"/>
      <c r="S36" s="80"/>
      <c r="T36" s="79"/>
      <c r="U36" s="80"/>
      <c r="V36" s="79"/>
      <c r="W36" s="80"/>
      <c r="X36" s="79"/>
      <c r="Y36" s="80"/>
      <c r="Z36" s="79"/>
      <c r="AA36" s="80"/>
      <c r="AB36" s="79"/>
      <c r="AC36" s="80"/>
      <c r="AD36" s="79"/>
      <c r="AE36" s="80"/>
      <c r="AF36" s="79"/>
      <c r="AG36" s="80"/>
      <c r="AH36" s="79"/>
      <c r="AI36" s="80"/>
      <c r="AJ36" s="271"/>
      <c r="AK36" s="284"/>
      <c r="AL36" s="283"/>
      <c r="AM36" s="292"/>
      <c r="AN36" s="283"/>
      <c r="AO36" s="292"/>
      <c r="AP36" s="283"/>
      <c r="AQ36" s="317"/>
      <c r="AR36" s="314"/>
      <c r="AS36" s="313"/>
      <c r="AT36" s="324"/>
      <c r="AU36" s="276"/>
      <c r="AV36" s="283"/>
    </row>
    <row r="37" spans="1:48">
      <c r="A37" s="96" t="s">
        <v>147</v>
      </c>
      <c r="B37" s="266">
        <v>0.5</v>
      </c>
      <c r="C37" s="84"/>
      <c r="D37" s="79"/>
      <c r="E37" s="84"/>
      <c r="F37" s="79"/>
      <c r="G37" s="82"/>
      <c r="H37" s="79"/>
      <c r="I37" s="82"/>
      <c r="J37" s="79"/>
      <c r="K37" s="82"/>
      <c r="L37" s="79"/>
      <c r="M37" s="82"/>
      <c r="N37" s="79"/>
      <c r="O37" s="82"/>
      <c r="P37" s="79"/>
      <c r="Q37" s="82"/>
      <c r="R37" s="79"/>
      <c r="S37" s="82"/>
      <c r="T37" s="79"/>
      <c r="U37" s="82"/>
      <c r="V37" s="79"/>
      <c r="W37" s="82"/>
      <c r="X37" s="79"/>
      <c r="Y37" s="82"/>
      <c r="Z37" s="79"/>
      <c r="AA37" s="82"/>
      <c r="AB37" s="79"/>
      <c r="AC37" s="82"/>
      <c r="AD37" s="79"/>
      <c r="AE37" s="84">
        <f>92%*76.492</f>
        <v>70.372640000000004</v>
      </c>
      <c r="AF37" s="79">
        <f>AE37*B37</f>
        <v>35.186320000000002</v>
      </c>
      <c r="AG37" s="82"/>
      <c r="AH37" s="79"/>
      <c r="AI37" s="82"/>
      <c r="AJ37" s="271"/>
      <c r="AK37" s="286"/>
      <c r="AL37" s="283"/>
      <c r="AM37" s="292"/>
      <c r="AN37" s="283"/>
      <c r="AO37" s="292"/>
      <c r="AP37" s="283"/>
      <c r="AQ37" s="317"/>
      <c r="AR37" s="314"/>
      <c r="AS37" s="313"/>
      <c r="AT37" s="324"/>
      <c r="AU37" s="276"/>
      <c r="AV37" s="283"/>
    </row>
    <row r="38" spans="1:48">
      <c r="A38" s="96" t="s">
        <v>148</v>
      </c>
      <c r="B38" s="266">
        <f>'Distribution Keys'!C235</f>
        <v>0.05</v>
      </c>
      <c r="C38" s="84"/>
      <c r="D38" s="79"/>
      <c r="E38" s="84"/>
      <c r="F38" s="79"/>
      <c r="G38" s="82"/>
      <c r="H38" s="79"/>
      <c r="I38" s="82"/>
      <c r="J38" s="79"/>
      <c r="K38" s="263">
        <f>(19.797*0.5)</f>
        <v>9.8985000000000003</v>
      </c>
      <c r="L38" s="264">
        <f>K38*B38</f>
        <v>0.49492500000000006</v>
      </c>
      <c r="M38" s="82"/>
      <c r="N38" s="79"/>
      <c r="O38" s="82"/>
      <c r="P38" s="79"/>
      <c r="Q38" s="82">
        <f>88.446/2</f>
        <v>44.222999999999999</v>
      </c>
      <c r="R38" s="79">
        <f>Q38*B38</f>
        <v>2.2111499999999999</v>
      </c>
      <c r="S38" s="84">
        <f>(438.033/2)</f>
        <v>219.01650000000001</v>
      </c>
      <c r="T38" s="79">
        <f>S38*B38</f>
        <v>10.950825000000002</v>
      </c>
      <c r="U38" s="82"/>
      <c r="V38" s="79"/>
      <c r="W38" s="82"/>
      <c r="X38" s="79"/>
      <c r="Y38" s="82"/>
      <c r="Z38" s="79"/>
      <c r="AA38" s="84">
        <f>653.891/2</f>
        <v>326.94549999999998</v>
      </c>
      <c r="AB38" s="79">
        <f>AA38*B38</f>
        <v>16.347275</v>
      </c>
      <c r="AC38" s="82"/>
      <c r="AD38" s="79"/>
      <c r="AE38" s="82"/>
      <c r="AF38" s="79"/>
      <c r="AG38" s="82"/>
      <c r="AH38" s="79"/>
      <c r="AI38" s="82"/>
      <c r="AJ38" s="271"/>
      <c r="AK38" s="286"/>
      <c r="AL38" s="283"/>
      <c r="AM38" s="292"/>
      <c r="AN38" s="294"/>
      <c r="AO38" s="291"/>
      <c r="AP38" s="294"/>
      <c r="AQ38" s="317"/>
      <c r="AR38" s="319"/>
      <c r="AS38" s="317"/>
      <c r="AT38" s="326"/>
      <c r="AU38" s="276"/>
      <c r="AV38" s="294"/>
    </row>
    <row r="39" spans="1:48">
      <c r="A39" s="96" t="s">
        <v>149</v>
      </c>
      <c r="B39" s="85">
        <f>B29</f>
        <v>0.79865395824836594</v>
      </c>
      <c r="C39" s="84"/>
      <c r="D39" s="79"/>
      <c r="E39" s="84"/>
      <c r="F39" s="79"/>
      <c r="G39" s="82"/>
      <c r="H39" s="79"/>
      <c r="I39" s="82"/>
      <c r="J39" s="79"/>
      <c r="K39" s="263">
        <f>(19.797*0.5)</f>
        <v>9.8985000000000003</v>
      </c>
      <c r="L39" s="264">
        <f>K39*B39</f>
        <v>7.9054762057214507</v>
      </c>
      <c r="M39" s="82">
        <f>34.056/2</f>
        <v>17.027999999999999</v>
      </c>
      <c r="N39" s="79">
        <f>M39*B39</f>
        <v>13.599479601053174</v>
      </c>
      <c r="O39" s="82"/>
      <c r="P39" s="79"/>
      <c r="Q39" s="82"/>
      <c r="R39" s="79"/>
      <c r="S39" s="84"/>
      <c r="T39" s="79"/>
      <c r="U39" s="82"/>
      <c r="V39" s="79"/>
      <c r="W39" s="82"/>
      <c r="X39" s="79"/>
      <c r="Y39" s="82"/>
      <c r="Z39" s="79"/>
      <c r="AA39" s="82"/>
      <c r="AB39" s="79"/>
      <c r="AC39" s="82"/>
      <c r="AD39" s="79"/>
      <c r="AE39" s="82"/>
      <c r="AF39" s="79"/>
      <c r="AG39" s="82"/>
      <c r="AH39" s="79"/>
      <c r="AI39" s="82"/>
      <c r="AJ39" s="271"/>
      <c r="AK39" s="286"/>
      <c r="AL39" s="283"/>
      <c r="AM39" s="292"/>
      <c r="AN39" s="294"/>
      <c r="AO39" s="292"/>
      <c r="AP39" s="294"/>
      <c r="AQ39" s="317"/>
      <c r="AR39" s="319"/>
      <c r="AS39" s="317"/>
      <c r="AT39" s="326"/>
      <c r="AU39" s="276"/>
      <c r="AV39" s="294"/>
    </row>
    <row r="40" spans="1:48">
      <c r="A40" s="96" t="s">
        <v>150</v>
      </c>
      <c r="B40" s="85">
        <f>B39/2</f>
        <v>0.39932697912418297</v>
      </c>
      <c r="C40" s="263"/>
      <c r="D40" s="224"/>
      <c r="E40" s="263"/>
      <c r="F40" s="224"/>
      <c r="G40" s="263"/>
      <c r="H40" s="224"/>
      <c r="I40" s="263"/>
      <c r="J40" s="224"/>
      <c r="K40" s="263"/>
      <c r="L40" s="224"/>
      <c r="M40" s="263"/>
      <c r="N40" s="224"/>
      <c r="O40" s="263"/>
      <c r="P40" s="224"/>
      <c r="Q40" s="263"/>
      <c r="R40" s="224"/>
      <c r="S40" s="263"/>
      <c r="T40" s="224"/>
      <c r="U40" s="263"/>
      <c r="V40" s="224"/>
      <c r="W40" s="263"/>
      <c r="X40" s="224"/>
      <c r="Y40" s="263"/>
      <c r="Z40" s="224"/>
      <c r="AA40" s="263"/>
      <c r="AB40" s="224"/>
      <c r="AC40" s="263"/>
      <c r="AD40" s="224"/>
      <c r="AE40" s="263"/>
      <c r="AF40" s="224"/>
      <c r="AG40" s="263"/>
      <c r="AH40" s="224"/>
      <c r="AI40" s="263"/>
      <c r="AJ40" s="272"/>
      <c r="AK40" s="287"/>
      <c r="AL40" s="288"/>
      <c r="AM40" s="295"/>
      <c r="AN40" s="296"/>
      <c r="AO40" s="295">
        <v>0.56000000000000005</v>
      </c>
      <c r="AP40" s="297">
        <f>AO40*B40</f>
        <v>0.22362310830954249</v>
      </c>
      <c r="AQ40" s="320">
        <v>323119</v>
      </c>
      <c r="AR40" s="321">
        <f>AQ40*B40</f>
        <v>129030.13416762688</v>
      </c>
      <c r="AS40" s="320">
        <f>461115/2</f>
        <v>230557.5</v>
      </c>
      <c r="AT40" s="327">
        <f>AS40*B40</f>
        <v>92067.829989423815</v>
      </c>
      <c r="AU40" s="304">
        <v>41</v>
      </c>
      <c r="AV40" s="297">
        <f>AU40*B40</f>
        <v>16.372406144091503</v>
      </c>
    </row>
    <row r="41" spans="1:48">
      <c r="A41" s="75" t="s">
        <v>151</v>
      </c>
      <c r="B41" s="89"/>
      <c r="C41" s="95">
        <f t="shared" ref="C41:AJ41" si="2">SUM(C7:C40)</f>
        <v>199.14299999999997</v>
      </c>
      <c r="D41" s="243">
        <f t="shared" si="2"/>
        <v>52.831032096817914</v>
      </c>
      <c r="E41" s="95">
        <f t="shared" si="2"/>
        <v>196.11199999999999</v>
      </c>
      <c r="F41" s="243">
        <f t="shared" si="2"/>
        <v>50.157060026592738</v>
      </c>
      <c r="G41" s="95">
        <f t="shared" si="2"/>
        <v>131.84199999999998</v>
      </c>
      <c r="H41" s="243">
        <f t="shared" si="2"/>
        <v>41.756680856151959</v>
      </c>
      <c r="I41" s="95">
        <f t="shared" si="2"/>
        <v>124.39700000000001</v>
      </c>
      <c r="J41" s="243">
        <f t="shared" si="2"/>
        <v>49.799530710523108</v>
      </c>
      <c r="K41" s="95">
        <f t="shared" si="2"/>
        <v>158.876</v>
      </c>
      <c r="L41" s="243">
        <f t="shared" si="2"/>
        <v>29.341966506921494</v>
      </c>
      <c r="M41" s="95">
        <f t="shared" si="2"/>
        <v>159.3005</v>
      </c>
      <c r="N41" s="243">
        <f t="shared" si="2"/>
        <v>39.395974996019049</v>
      </c>
      <c r="O41" s="95">
        <f t="shared" si="2"/>
        <v>165.358</v>
      </c>
      <c r="P41" s="243">
        <f t="shared" si="2"/>
        <v>28.15364930982695</v>
      </c>
      <c r="Q41" s="95">
        <f t="shared" si="2"/>
        <v>327.64699999999999</v>
      </c>
      <c r="R41" s="243">
        <f t="shared" si="2"/>
        <v>50.168891701135919</v>
      </c>
      <c r="S41" s="95">
        <f t="shared" si="2"/>
        <v>360.5197</v>
      </c>
      <c r="T41" s="243">
        <f t="shared" si="2"/>
        <v>42.61457557195294</v>
      </c>
      <c r="U41" s="95">
        <f t="shared" si="2"/>
        <v>157.94499999999999</v>
      </c>
      <c r="V41" s="243">
        <f t="shared" si="2"/>
        <v>35.146664409080778</v>
      </c>
      <c r="W41" s="95">
        <f t="shared" si="2"/>
        <v>285.38</v>
      </c>
      <c r="X41" s="243">
        <f t="shared" si="2"/>
        <v>47.687328311185979</v>
      </c>
      <c r="Y41" s="95">
        <f t="shared" si="2"/>
        <v>426.7</v>
      </c>
      <c r="Z41" s="243">
        <f t="shared" si="2"/>
        <v>74.104303208935988</v>
      </c>
      <c r="AA41" s="95">
        <f t="shared" si="2"/>
        <v>411.72050000000002</v>
      </c>
      <c r="AB41" s="243">
        <f t="shared" si="2"/>
        <v>37.126609233159385</v>
      </c>
      <c r="AC41" s="95">
        <f t="shared" si="2"/>
        <v>14.496</v>
      </c>
      <c r="AD41" s="243">
        <f t="shared" si="2"/>
        <v>2.128364384813437</v>
      </c>
      <c r="AE41" s="95">
        <f t="shared" si="2"/>
        <v>251.47564</v>
      </c>
      <c r="AF41" s="243">
        <f t="shared" si="2"/>
        <v>100.46171622323084</v>
      </c>
      <c r="AG41" s="95">
        <f t="shared" si="2"/>
        <v>105</v>
      </c>
      <c r="AH41" s="243">
        <f t="shared" si="2"/>
        <v>46.438280522058925</v>
      </c>
      <c r="AI41" s="95">
        <f t="shared" si="2"/>
        <v>1099</v>
      </c>
      <c r="AJ41" s="243">
        <f t="shared" si="2"/>
        <v>732.70504796688294</v>
      </c>
      <c r="AK41" s="269">
        <v>692</v>
      </c>
      <c r="AL41" s="268">
        <f t="shared" ref="AL41:AV41" si="3">SUM(AL7:AL40)</f>
        <v>69.172652115747951</v>
      </c>
      <c r="AM41" s="269">
        <f t="shared" si="3"/>
        <v>0.17400000000000002</v>
      </c>
      <c r="AN41" s="268">
        <f t="shared" si="3"/>
        <v>4.3221340921734908E-2</v>
      </c>
      <c r="AO41" s="337">
        <f t="shared" si="3"/>
        <v>0.81800000000000006</v>
      </c>
      <c r="AP41" s="268">
        <f t="shared" si="3"/>
        <v>0.26147229135539635</v>
      </c>
      <c r="AQ41" s="322">
        <f t="shared" si="3"/>
        <v>4650431</v>
      </c>
      <c r="AR41" s="323">
        <f t="shared" si="3"/>
        <v>1358650.3803652744</v>
      </c>
      <c r="AS41" s="322">
        <f>SUM(AS7:AS40)</f>
        <v>520219.5</v>
      </c>
      <c r="AT41" s="323">
        <f>SUM(AT7:AT40)</f>
        <v>131390.67919273334</v>
      </c>
      <c r="AU41" s="269">
        <f t="shared" si="3"/>
        <v>76.77000000000001</v>
      </c>
      <c r="AV41" s="268">
        <f t="shared" si="3"/>
        <v>18.987316321810674</v>
      </c>
    </row>
    <row r="45" spans="1:48">
      <c r="A45" s="36" t="s">
        <v>152</v>
      </c>
    </row>
    <row r="46" spans="1:48">
      <c r="F46" s="25" t="s">
        <v>152</v>
      </c>
    </row>
  </sheetData>
  <sheetProtection algorithmName="SHA-512" hashValue="ouUEugXrYa5Q2+FNQyMqoWJd19zZIvrfMLrmDn72S40ZUL8G3uEYS8PcIe5niNbPEvps9W0gvba6Pbg0eiGvvg==" saltValue="/7Rdq7uD4xMfxGd/bltcyw==" spinCount="100000" sheet="1" objects="1" scenarios="1" selectLockedCells="1" selectUnlockedCells="1"/>
  <mergeCells count="46">
    <mergeCell ref="M5:N5"/>
    <mergeCell ref="C5:D5"/>
    <mergeCell ref="E5:F5"/>
    <mergeCell ref="G5:H5"/>
    <mergeCell ref="I5:J5"/>
    <mergeCell ref="K5:L5"/>
    <mergeCell ref="O5:P5"/>
    <mergeCell ref="Q5:R5"/>
    <mergeCell ref="S5:T5"/>
    <mergeCell ref="U5:V5"/>
    <mergeCell ref="W5:X5"/>
    <mergeCell ref="U4:V4"/>
    <mergeCell ref="W4:X4"/>
    <mergeCell ref="C4:D4"/>
    <mergeCell ref="E4:F4"/>
    <mergeCell ref="G4:H4"/>
    <mergeCell ref="I4:J4"/>
    <mergeCell ref="K4:L4"/>
    <mergeCell ref="M4:N4"/>
    <mergeCell ref="O4:P4"/>
    <mergeCell ref="Q4:R4"/>
    <mergeCell ref="S4:T4"/>
    <mergeCell ref="AE4:AF4"/>
    <mergeCell ref="AE5:AF5"/>
    <mergeCell ref="AG4:AH4"/>
    <mergeCell ref="AG5:AH5"/>
    <mergeCell ref="Y4:Z4"/>
    <mergeCell ref="Y5:Z5"/>
    <mergeCell ref="AA4:AB4"/>
    <mergeCell ref="AA5:AB5"/>
    <mergeCell ref="AC4:AD4"/>
    <mergeCell ref="AC5:AD5"/>
    <mergeCell ref="AI4:AJ4"/>
    <mergeCell ref="AI5:AJ5"/>
    <mergeCell ref="AK4:AL4"/>
    <mergeCell ref="AK5:AL5"/>
    <mergeCell ref="AM4:AN4"/>
    <mergeCell ref="AM5:AN5"/>
    <mergeCell ref="AO4:AP4"/>
    <mergeCell ref="AO5:AP5"/>
    <mergeCell ref="AQ4:AR4"/>
    <mergeCell ref="AQ5:AR5"/>
    <mergeCell ref="AU4:AV4"/>
    <mergeCell ref="AU5:AV5"/>
    <mergeCell ref="AS4:AT4"/>
    <mergeCell ref="AS5:AT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2A7CE-F221-C647-84CB-C3235B70344A}">
  <dimension ref="B2:M391"/>
  <sheetViews>
    <sheetView showGridLines="0" topLeftCell="A361" zoomScaleNormal="70" workbookViewId="0">
      <selection activeCell="D123" sqref="D123"/>
    </sheetView>
  </sheetViews>
  <sheetFormatPr baseColWidth="10" defaultColWidth="11" defaultRowHeight="15.75"/>
  <cols>
    <col min="2" max="2" width="84" bestFit="1" customWidth="1"/>
    <col min="3" max="3" width="16.125" customWidth="1"/>
    <col min="4" max="4" width="16.5" customWidth="1"/>
    <col min="5" max="5" width="21.875" customWidth="1"/>
    <col min="6" max="6" width="16" customWidth="1"/>
    <col min="7" max="7" width="27" customWidth="1"/>
    <col min="8" max="8" width="21.5" bestFit="1" customWidth="1"/>
    <col min="10" max="10" width="21.5" bestFit="1" customWidth="1"/>
    <col min="11" max="11" width="20" customWidth="1"/>
    <col min="13" max="13" width="17.5" customWidth="1"/>
  </cols>
  <sheetData>
    <row r="2" spans="2:13">
      <c r="B2" s="37" t="s">
        <v>153</v>
      </c>
      <c r="K2" s="37" t="s">
        <v>153</v>
      </c>
    </row>
    <row r="3" spans="2:13">
      <c r="D3" s="61" t="s">
        <v>154</v>
      </c>
      <c r="M3" s="61" t="s">
        <v>154</v>
      </c>
    </row>
    <row r="4" spans="2:13">
      <c r="B4" s="48" t="s">
        <v>155</v>
      </c>
      <c r="C4" s="150">
        <v>4.3400000000000001E-2</v>
      </c>
      <c r="D4" s="208" t="s">
        <v>156</v>
      </c>
      <c r="K4" s="48" t="s">
        <v>157</v>
      </c>
      <c r="L4" s="150">
        <v>4.19E-2</v>
      </c>
      <c r="M4" s="305" t="s">
        <v>158</v>
      </c>
    </row>
    <row r="5" spans="2:13">
      <c r="B5" s="51" t="s">
        <v>159</v>
      </c>
      <c r="C5" s="151">
        <f>C4*D11</f>
        <v>3.5591668343731134E-2</v>
      </c>
      <c r="D5" t="s">
        <v>160</v>
      </c>
      <c r="K5" s="51" t="s">
        <v>161</v>
      </c>
      <c r="L5" s="151">
        <f>L4*D11</f>
        <v>3.4361541557657478E-2</v>
      </c>
      <c r="M5" t="s">
        <v>160</v>
      </c>
    </row>
    <row r="6" spans="2:13">
      <c r="C6" s="62"/>
    </row>
    <row r="8" spans="2:13">
      <c r="B8" s="54" t="s">
        <v>162</v>
      </c>
      <c r="C8" s="221" t="s">
        <v>163</v>
      </c>
      <c r="D8" s="221" t="s">
        <v>164</v>
      </c>
      <c r="E8" s="222" t="s">
        <v>165</v>
      </c>
      <c r="F8" s="452" t="s">
        <v>166</v>
      </c>
      <c r="G8" s="453"/>
      <c r="H8" s="61" t="s">
        <v>167</v>
      </c>
    </row>
    <row r="9" spans="2:13" ht="15.75" customHeight="1">
      <c r="B9" s="227" t="s">
        <v>168</v>
      </c>
      <c r="C9" s="228">
        <v>0.40833234485788972</v>
      </c>
      <c r="D9" s="228">
        <v>0.63948774535340636</v>
      </c>
      <c r="E9" s="229">
        <f>AVERAGE(C9:D9)</f>
        <v>0.52391004510564798</v>
      </c>
      <c r="F9" s="450" t="s">
        <v>169</v>
      </c>
      <c r="G9" s="451"/>
      <c r="H9" t="s">
        <v>170</v>
      </c>
    </row>
    <row r="10" spans="2:13">
      <c r="B10" s="227" t="s">
        <v>171</v>
      </c>
      <c r="C10" s="228">
        <v>0.20995111377056214</v>
      </c>
      <c r="D10" s="228">
        <v>0.19309720265647012</v>
      </c>
      <c r="E10" s="229">
        <f t="shared" ref="E10:E11" si="0">AVERAGE(C10:D10)</f>
        <v>0.20152415821351613</v>
      </c>
      <c r="F10" s="450" t="s">
        <v>169</v>
      </c>
      <c r="G10" s="451"/>
      <c r="H10" t="s">
        <v>172</v>
      </c>
      <c r="I10" s="208" t="s">
        <v>173</v>
      </c>
    </row>
    <row r="11" spans="2:13">
      <c r="B11" s="230" t="s">
        <v>174</v>
      </c>
      <c r="C11" s="231">
        <v>0.77482471946217324</v>
      </c>
      <c r="D11" s="231">
        <v>0.82008452404910448</v>
      </c>
      <c r="E11" s="232">
        <f t="shared" si="0"/>
        <v>0.79745462175563886</v>
      </c>
      <c r="F11" s="450" t="s">
        <v>169</v>
      </c>
      <c r="G11" s="451"/>
      <c r="H11" t="s">
        <v>172</v>
      </c>
      <c r="I11" s="208" t="s">
        <v>173</v>
      </c>
    </row>
    <row r="12" spans="2:13">
      <c r="C12" s="66"/>
      <c r="D12" s="66"/>
      <c r="E12" s="62"/>
    </row>
    <row r="13" spans="2:13">
      <c r="B13" s="37" t="s">
        <v>175</v>
      </c>
      <c r="C13" s="66"/>
      <c r="D13" s="66"/>
      <c r="E13" s="62"/>
    </row>
    <row r="14" spans="2:13">
      <c r="C14" s="66"/>
      <c r="D14" s="182" t="s">
        <v>176</v>
      </c>
      <c r="E14" s="181" t="s">
        <v>114</v>
      </c>
    </row>
    <row r="15" spans="2:13">
      <c r="B15" s="160" t="s">
        <v>159</v>
      </c>
      <c r="C15" s="161">
        <v>3.56E-2</v>
      </c>
      <c r="D15" s="161">
        <v>0.75</v>
      </c>
      <c r="E15" s="162">
        <f>C15*D15</f>
        <v>2.6700000000000002E-2</v>
      </c>
      <c r="F15" t="s">
        <v>177</v>
      </c>
    </row>
    <row r="16" spans="2:13">
      <c r="B16" s="163" t="s">
        <v>178</v>
      </c>
      <c r="C16" s="164">
        <v>7.8E-2</v>
      </c>
      <c r="D16" s="164">
        <v>0.25</v>
      </c>
      <c r="E16" s="162">
        <f>C16*D16</f>
        <v>1.95E-2</v>
      </c>
      <c r="F16" t="s">
        <v>179</v>
      </c>
    </row>
    <row r="17" spans="2:7">
      <c r="C17" s="66"/>
      <c r="D17" s="66"/>
      <c r="E17" s="126">
        <f>E15+E16</f>
        <v>4.6200000000000005E-2</v>
      </c>
      <c r="F17" t="s">
        <v>180</v>
      </c>
    </row>
    <row r="18" spans="2:7">
      <c r="C18" s="66"/>
      <c r="D18" s="66"/>
      <c r="E18" s="62"/>
      <c r="F18" t="s">
        <v>181</v>
      </c>
    </row>
    <row r="19" spans="2:7">
      <c r="B19" s="37" t="s">
        <v>182</v>
      </c>
      <c r="C19" s="238"/>
    </row>
    <row r="21" spans="2:7">
      <c r="C21" s="180" t="s">
        <v>183</v>
      </c>
      <c r="D21" s="180" t="s">
        <v>184</v>
      </c>
      <c r="E21" s="56" t="s">
        <v>185</v>
      </c>
      <c r="F21" s="181" t="s">
        <v>114</v>
      </c>
    </row>
    <row r="22" spans="2:7">
      <c r="B22" s="105" t="s">
        <v>186</v>
      </c>
      <c r="C22" s="111">
        <v>61542</v>
      </c>
      <c r="D22" s="106">
        <f>C22/C25</f>
        <v>0.8097006834313023</v>
      </c>
      <c r="E22" s="114">
        <f>E11</f>
        <v>0.79745462175563886</v>
      </c>
      <c r="F22" s="116">
        <f>E22*D22</f>
        <v>0.64569955224099151</v>
      </c>
      <c r="G22" t="s">
        <v>174</v>
      </c>
    </row>
    <row r="23" spans="2:7">
      <c r="B23" s="107" t="s">
        <v>187</v>
      </c>
      <c r="C23" s="112">
        <f>14479*E11</f>
        <v>11546.345468399895</v>
      </c>
      <c r="D23" s="91">
        <f>C23/C25</f>
        <v>0.15191387697665523</v>
      </c>
      <c r="E23" s="115">
        <v>1</v>
      </c>
      <c r="F23" s="117">
        <f>E23*D23</f>
        <v>0.15191387697665523</v>
      </c>
      <c r="G23" t="s">
        <v>188</v>
      </c>
    </row>
    <row r="24" spans="2:7">
      <c r="B24" s="108" t="s">
        <v>189</v>
      </c>
      <c r="C24" s="113">
        <f>14479*20.15%</f>
        <v>2917.5184999999997</v>
      </c>
      <c r="D24" s="62">
        <f>C24/C25</f>
        <v>3.8385439592042311E-2</v>
      </c>
      <c r="E24" s="93">
        <v>0</v>
      </c>
      <c r="F24" s="118">
        <f>E24*D24</f>
        <v>0</v>
      </c>
      <c r="G24" t="s">
        <v>190</v>
      </c>
    </row>
    <row r="25" spans="2:7">
      <c r="B25" s="109" t="s">
        <v>191</v>
      </c>
      <c r="C25" s="240">
        <f>SUM(C22:C24)</f>
        <v>76005.863968399906</v>
      </c>
      <c r="D25" s="110"/>
      <c r="E25" s="110"/>
      <c r="F25" s="152">
        <f>SUM(F22:F23)</f>
        <v>0.79761342921764677</v>
      </c>
    </row>
    <row r="26" spans="2:7">
      <c r="D26" s="27"/>
    </row>
    <row r="27" spans="2:7">
      <c r="B27" t="s">
        <v>192</v>
      </c>
    </row>
    <row r="28" spans="2:7">
      <c r="B28" t="s">
        <v>193</v>
      </c>
    </row>
    <row r="30" spans="2:7">
      <c r="B30" s="37" t="s">
        <v>194</v>
      </c>
    </row>
    <row r="31" spans="2:7">
      <c r="C31" s="179" t="s">
        <v>183</v>
      </c>
      <c r="D31" s="216" t="s">
        <v>176</v>
      </c>
      <c r="E31" s="216" t="s">
        <v>195</v>
      </c>
      <c r="F31" s="217" t="s">
        <v>114</v>
      </c>
      <c r="G31" s="61" t="s">
        <v>196</v>
      </c>
    </row>
    <row r="32" spans="2:7">
      <c r="B32" s="105" t="s">
        <v>197</v>
      </c>
      <c r="C32" s="111">
        <v>61542</v>
      </c>
      <c r="D32" s="106">
        <f>C32/C36</f>
        <v>0.80932799534701294</v>
      </c>
      <c r="E32" s="114">
        <f>E11</f>
        <v>0.79745462175563886</v>
      </c>
      <c r="F32" s="116">
        <f>E32*D32</f>
        <v>0.6454023504057016</v>
      </c>
      <c r="G32" t="s">
        <v>174</v>
      </c>
    </row>
    <row r="33" spans="2:7">
      <c r="B33" s="107" t="s">
        <v>198</v>
      </c>
      <c r="C33" s="112">
        <f>14479*E11</f>
        <v>11546.345468399895</v>
      </c>
      <c r="D33" s="91">
        <f>C33/C36</f>
        <v>0.15184395423489899</v>
      </c>
      <c r="E33" s="115">
        <v>1</v>
      </c>
      <c r="F33" s="117">
        <f>E33*D33</f>
        <v>0.15184395423489899</v>
      </c>
      <c r="G33" t="s">
        <v>188</v>
      </c>
    </row>
    <row r="34" spans="2:7">
      <c r="B34" s="108" t="s">
        <v>199</v>
      </c>
      <c r="C34" s="113">
        <f>14479*20.15%</f>
        <v>2917.5184999999997</v>
      </c>
      <c r="D34" s="62">
        <f>C34/C36</f>
        <v>3.8367771586767151E-2</v>
      </c>
      <c r="E34" s="93">
        <v>0</v>
      </c>
      <c r="F34" s="118">
        <f>E34*D34</f>
        <v>0</v>
      </c>
      <c r="G34" t="s">
        <v>190</v>
      </c>
    </row>
    <row r="35" spans="2:7">
      <c r="B35" s="107" t="s">
        <v>200</v>
      </c>
      <c r="C35" s="112">
        <v>35</v>
      </c>
      <c r="D35" s="309">
        <f>C35/C36</f>
        <v>4.6027883132081264E-4</v>
      </c>
      <c r="E35" s="310">
        <v>0.09</v>
      </c>
      <c r="F35" s="311">
        <f>E35*D35</f>
        <v>4.1425094818873135E-5</v>
      </c>
      <c r="G35" t="s">
        <v>201</v>
      </c>
    </row>
    <row r="36" spans="2:7">
      <c r="B36" s="109" t="s">
        <v>191</v>
      </c>
      <c r="C36" s="240">
        <f>SUM(C32:C35)</f>
        <v>76040.863968399906</v>
      </c>
      <c r="D36" s="110"/>
      <c r="E36" s="110"/>
      <c r="F36" s="152">
        <f>SUM(F32:F35)</f>
        <v>0.7972877297354195</v>
      </c>
    </row>
    <row r="38" spans="2:7">
      <c r="B38" t="s">
        <v>192</v>
      </c>
    </row>
    <row r="39" spans="2:7">
      <c r="B39" t="s">
        <v>193</v>
      </c>
      <c r="D39" t="s">
        <v>152</v>
      </c>
    </row>
    <row r="40" spans="2:7">
      <c r="B40" t="s">
        <v>202</v>
      </c>
    </row>
    <row r="43" spans="2:7">
      <c r="B43" s="37" t="s">
        <v>203</v>
      </c>
    </row>
    <row r="45" spans="2:7">
      <c r="C45" s="218" t="s">
        <v>204</v>
      </c>
      <c r="D45" s="219" t="s">
        <v>176</v>
      </c>
      <c r="E45" s="220" t="s">
        <v>114</v>
      </c>
    </row>
    <row r="46" spans="2:7">
      <c r="B46" s="160" t="s">
        <v>117</v>
      </c>
      <c r="C46" s="183">
        <f>D11</f>
        <v>0.82008452404910448</v>
      </c>
      <c r="D46" s="189">
        <v>0.2</v>
      </c>
      <c r="E46" s="126">
        <f>C46*D46</f>
        <v>0.1640169048098209</v>
      </c>
    </row>
    <row r="47" spans="2:7">
      <c r="B47" s="163" t="s">
        <v>205</v>
      </c>
      <c r="C47" s="167"/>
      <c r="D47" s="167">
        <v>0.8</v>
      </c>
    </row>
    <row r="49" spans="2:7">
      <c r="B49" s="37" t="s">
        <v>206</v>
      </c>
    </row>
    <row r="51" spans="2:7">
      <c r="B51" s="54" t="s">
        <v>207</v>
      </c>
      <c r="C51" s="221" t="s">
        <v>208</v>
      </c>
      <c r="D51" s="221" t="s">
        <v>176</v>
      </c>
      <c r="E51" s="221" t="s">
        <v>209</v>
      </c>
      <c r="F51" s="222" t="s">
        <v>114</v>
      </c>
      <c r="G51" s="61" t="s">
        <v>196</v>
      </c>
    </row>
    <row r="52" spans="2:7">
      <c r="B52" s="49" t="s">
        <v>210</v>
      </c>
      <c r="C52" s="40">
        <v>2181858</v>
      </c>
      <c r="D52" s="41">
        <f>E17</f>
        <v>4.6200000000000005E-2</v>
      </c>
      <c r="E52" s="40">
        <f>D52*C52</f>
        <v>100801.83960000001</v>
      </c>
      <c r="F52" s="57">
        <f>E52/$C$86</f>
        <v>6.8064161996231427E-3</v>
      </c>
      <c r="G52" t="s">
        <v>211</v>
      </c>
    </row>
    <row r="53" spans="2:7">
      <c r="B53" s="49" t="s">
        <v>212</v>
      </c>
      <c r="C53" s="40">
        <v>4084092</v>
      </c>
      <c r="D53" s="41">
        <f>E17</f>
        <v>4.6200000000000005E-2</v>
      </c>
      <c r="E53" s="40">
        <f>D53*C53</f>
        <v>188685.05040000001</v>
      </c>
      <c r="F53" s="57">
        <f>E53/$C$86</f>
        <v>1.2740531212183047E-2</v>
      </c>
      <c r="G53" t="s">
        <v>213</v>
      </c>
    </row>
    <row r="54" spans="2:7">
      <c r="B54" s="50" t="s">
        <v>214</v>
      </c>
      <c r="C54" s="42">
        <v>1912549</v>
      </c>
      <c r="D54" s="43"/>
      <c r="E54" s="38" t="s">
        <v>215</v>
      </c>
      <c r="F54" s="58"/>
      <c r="G54" t="s">
        <v>215</v>
      </c>
    </row>
    <row r="55" spans="2:7">
      <c r="B55" s="50" t="s">
        <v>216</v>
      </c>
      <c r="C55" s="42">
        <v>661553</v>
      </c>
      <c r="D55" s="43"/>
      <c r="E55" s="38" t="s">
        <v>215</v>
      </c>
      <c r="F55" s="58"/>
      <c r="G55" t="s">
        <v>215</v>
      </c>
    </row>
    <row r="56" spans="2:7">
      <c r="B56" s="50" t="s">
        <v>217</v>
      </c>
      <c r="C56" s="42">
        <v>550252</v>
      </c>
      <c r="D56" s="43"/>
      <c r="E56" s="38" t="s">
        <v>215</v>
      </c>
      <c r="F56" s="58"/>
      <c r="G56" t="s">
        <v>215</v>
      </c>
    </row>
    <row r="57" spans="2:7">
      <c r="B57" s="49" t="s">
        <v>218</v>
      </c>
      <c r="C57" s="40">
        <v>545486</v>
      </c>
      <c r="D57" s="44">
        <f>D22</f>
        <v>0.8097006834313023</v>
      </c>
      <c r="E57" s="40">
        <f>C57*D57</f>
        <v>441680.3870022074</v>
      </c>
      <c r="F57" s="57">
        <f>(E57*46.7%)/C66</f>
        <v>1.3927560035481231E-2</v>
      </c>
      <c r="G57" t="s">
        <v>219</v>
      </c>
    </row>
    <row r="58" spans="2:7">
      <c r="B58" s="49" t="s">
        <v>220</v>
      </c>
      <c r="C58" s="40">
        <v>528035</v>
      </c>
      <c r="D58" s="41">
        <f>$E$17</f>
        <v>4.6200000000000005E-2</v>
      </c>
      <c r="E58" s="40">
        <f t="shared" ref="E58:E65" si="1">D58*C58</f>
        <v>24395.217000000004</v>
      </c>
      <c r="F58" s="57">
        <f t="shared" ref="F58:F65" si="2">E58/$C$86</f>
        <v>1.6472318445875059E-3</v>
      </c>
      <c r="G58" t="s">
        <v>213</v>
      </c>
    </row>
    <row r="59" spans="2:7">
      <c r="B59" s="49" t="s">
        <v>221</v>
      </c>
      <c r="C59" s="40">
        <v>508707</v>
      </c>
      <c r="D59" s="41">
        <f>$E$17</f>
        <v>4.6200000000000005E-2</v>
      </c>
      <c r="E59" s="40">
        <f t="shared" si="1"/>
        <v>23502.263400000003</v>
      </c>
      <c r="F59" s="57">
        <f t="shared" si="2"/>
        <v>1.586937172658207E-3</v>
      </c>
      <c r="G59" t="s">
        <v>213</v>
      </c>
    </row>
    <row r="60" spans="2:7">
      <c r="B60" s="49" t="s">
        <v>222</v>
      </c>
      <c r="C60" s="40">
        <v>475756</v>
      </c>
      <c r="D60" s="41">
        <f t="shared" ref="D60:D65" si="3">$E$17</f>
        <v>4.6200000000000005E-2</v>
      </c>
      <c r="E60" s="40">
        <f t="shared" si="1"/>
        <v>21979.927200000002</v>
      </c>
      <c r="F60" s="57">
        <f t="shared" si="2"/>
        <v>1.4841448643623499E-3</v>
      </c>
      <c r="G60" t="s">
        <v>213</v>
      </c>
    </row>
    <row r="61" spans="2:7">
      <c r="B61" s="49" t="s">
        <v>223</v>
      </c>
      <c r="C61" s="40">
        <v>432499</v>
      </c>
      <c r="D61" s="41">
        <f t="shared" si="3"/>
        <v>4.6200000000000005E-2</v>
      </c>
      <c r="E61" s="40">
        <f t="shared" si="1"/>
        <v>19981.453800000003</v>
      </c>
      <c r="F61" s="57">
        <f t="shared" si="2"/>
        <v>1.3492024686853176E-3</v>
      </c>
      <c r="G61" t="s">
        <v>213</v>
      </c>
    </row>
    <row r="62" spans="2:7">
      <c r="B62" s="49" t="s">
        <v>224</v>
      </c>
      <c r="C62" s="40">
        <v>394368</v>
      </c>
      <c r="D62" s="41">
        <f t="shared" si="3"/>
        <v>4.6200000000000005E-2</v>
      </c>
      <c r="E62" s="40">
        <f t="shared" si="1"/>
        <v>18219.801600000003</v>
      </c>
      <c r="F62" s="57">
        <f t="shared" si="2"/>
        <v>1.2302508888355611E-3</v>
      </c>
      <c r="G62" t="s">
        <v>213</v>
      </c>
    </row>
    <row r="63" spans="2:7">
      <c r="B63" s="49" t="s">
        <v>225</v>
      </c>
      <c r="C63" s="40">
        <v>178366</v>
      </c>
      <c r="D63" s="41">
        <f t="shared" si="3"/>
        <v>4.6200000000000005E-2</v>
      </c>
      <c r="E63" s="40">
        <f t="shared" si="1"/>
        <v>8240.5092000000004</v>
      </c>
      <c r="F63" s="57">
        <f t="shared" si="2"/>
        <v>5.5642174323992737E-4</v>
      </c>
      <c r="G63" t="s">
        <v>213</v>
      </c>
    </row>
    <row r="64" spans="2:7">
      <c r="B64" s="49" t="s">
        <v>226</v>
      </c>
      <c r="C64" s="40">
        <v>104708</v>
      </c>
      <c r="D64" s="41">
        <f t="shared" si="3"/>
        <v>4.6200000000000005E-2</v>
      </c>
      <c r="E64" s="40">
        <f t="shared" si="1"/>
        <v>4837.5096000000003</v>
      </c>
      <c r="F64" s="57">
        <f t="shared" si="2"/>
        <v>3.2664189302426648E-4</v>
      </c>
      <c r="G64" t="s">
        <v>213</v>
      </c>
    </row>
    <row r="65" spans="2:7">
      <c r="B65" s="49" t="s">
        <v>227</v>
      </c>
      <c r="C65" s="40">
        <v>69740</v>
      </c>
      <c r="D65" s="41">
        <f t="shared" si="3"/>
        <v>4.6200000000000005E-2</v>
      </c>
      <c r="E65" s="40">
        <f t="shared" si="1"/>
        <v>3221.9880000000003</v>
      </c>
      <c r="F65" s="57">
        <f t="shared" si="2"/>
        <v>2.1755745138396631E-4</v>
      </c>
      <c r="G65" t="s">
        <v>213</v>
      </c>
    </row>
    <row r="66" spans="2:7">
      <c r="B66" s="51" t="s">
        <v>228</v>
      </c>
      <c r="C66" s="52">
        <v>14809826</v>
      </c>
      <c r="D66" s="53" t="s">
        <v>215</v>
      </c>
      <c r="E66" s="52">
        <f>SUM(E52:E65)</f>
        <v>855545.9468022075</v>
      </c>
      <c r="F66" s="65">
        <f>SUM(F52:F65)</f>
        <v>4.1872895774064521E-2</v>
      </c>
      <c r="G66" t="s">
        <v>215</v>
      </c>
    </row>
    <row r="69" spans="2:7">
      <c r="B69" s="37" t="s">
        <v>229</v>
      </c>
    </row>
    <row r="71" spans="2:7">
      <c r="B71" s="54" t="s">
        <v>207</v>
      </c>
      <c r="C71" s="221" t="s">
        <v>208</v>
      </c>
      <c r="D71" s="221" t="s">
        <v>176</v>
      </c>
      <c r="E71" s="221" t="s">
        <v>209</v>
      </c>
      <c r="F71" s="222" t="s">
        <v>114</v>
      </c>
      <c r="G71" s="61" t="s">
        <v>196</v>
      </c>
    </row>
    <row r="72" spans="2:7">
      <c r="B72" s="49" t="s">
        <v>210</v>
      </c>
      <c r="C72" s="40">
        <v>2181858</v>
      </c>
      <c r="D72" s="41">
        <f>E17</f>
        <v>4.6200000000000005E-2</v>
      </c>
      <c r="E72" s="40">
        <f>D72*C72</f>
        <v>100801.83960000001</v>
      </c>
      <c r="F72" s="57">
        <f>E72/$C$86</f>
        <v>6.8064161996231427E-3</v>
      </c>
      <c r="G72" t="s">
        <v>211</v>
      </c>
    </row>
    <row r="73" spans="2:7">
      <c r="B73" s="49" t="s">
        <v>212</v>
      </c>
      <c r="C73" s="40">
        <v>4084092</v>
      </c>
      <c r="D73" s="41">
        <f>E17</f>
        <v>4.6200000000000005E-2</v>
      </c>
      <c r="E73" s="40">
        <f>D73*C73</f>
        <v>188685.05040000001</v>
      </c>
      <c r="F73" s="57">
        <f>E73/$C$86</f>
        <v>1.2740531212183047E-2</v>
      </c>
      <c r="G73" t="s">
        <v>213</v>
      </c>
    </row>
    <row r="74" spans="2:7">
      <c r="B74" s="50" t="s">
        <v>214</v>
      </c>
      <c r="C74" s="42">
        <v>1912549</v>
      </c>
      <c r="D74" s="43"/>
      <c r="E74" s="38" t="s">
        <v>215</v>
      </c>
      <c r="F74" s="58"/>
      <c r="G74" t="s">
        <v>215</v>
      </c>
    </row>
    <row r="75" spans="2:7">
      <c r="B75" s="50" t="s">
        <v>216</v>
      </c>
      <c r="C75" s="42">
        <v>661553</v>
      </c>
      <c r="D75" s="43"/>
      <c r="E75" s="38" t="s">
        <v>215</v>
      </c>
      <c r="F75" s="58"/>
      <c r="G75" t="s">
        <v>215</v>
      </c>
    </row>
    <row r="76" spans="2:7">
      <c r="B76" s="50" t="s">
        <v>217</v>
      </c>
      <c r="C76" s="42">
        <v>550252</v>
      </c>
      <c r="D76" s="43"/>
      <c r="E76" s="38" t="s">
        <v>215</v>
      </c>
      <c r="F76" s="58"/>
      <c r="G76" t="s">
        <v>215</v>
      </c>
    </row>
    <row r="77" spans="2:7">
      <c r="B77" s="49" t="s">
        <v>218</v>
      </c>
      <c r="C77" s="40">
        <v>545486</v>
      </c>
      <c r="D77" s="44">
        <f>D22</f>
        <v>0.8097006834313023</v>
      </c>
      <c r="E77" s="40">
        <f>C77*D77</f>
        <v>441680.3870022074</v>
      </c>
      <c r="F77" s="57">
        <f>(E77*52%)/C86</f>
        <v>1.550820389389773E-2</v>
      </c>
      <c r="G77" t="s">
        <v>230</v>
      </c>
    </row>
    <row r="78" spans="2:7">
      <c r="B78" s="49" t="s">
        <v>220</v>
      </c>
      <c r="C78" s="40">
        <v>528035</v>
      </c>
      <c r="D78" s="41">
        <f>$E$17</f>
        <v>4.6200000000000005E-2</v>
      </c>
      <c r="E78" s="40">
        <f t="shared" ref="E78:E85" si="4">D78*C78</f>
        <v>24395.217000000004</v>
      </c>
      <c r="F78" s="57">
        <f t="shared" ref="F78:F85" si="5">E78/$C$86</f>
        <v>1.6472318445875059E-3</v>
      </c>
      <c r="G78" t="s">
        <v>213</v>
      </c>
    </row>
    <row r="79" spans="2:7">
      <c r="B79" s="49" t="s">
        <v>221</v>
      </c>
      <c r="C79" s="40">
        <v>508707</v>
      </c>
      <c r="D79" s="41">
        <f>$E$17</f>
        <v>4.6200000000000005E-2</v>
      </c>
      <c r="E79" s="40">
        <f t="shared" si="4"/>
        <v>23502.263400000003</v>
      </c>
      <c r="F79" s="57">
        <f t="shared" si="5"/>
        <v>1.586937172658207E-3</v>
      </c>
      <c r="G79" t="s">
        <v>213</v>
      </c>
    </row>
    <row r="80" spans="2:7">
      <c r="B80" s="49" t="s">
        <v>222</v>
      </c>
      <c r="C80" s="40">
        <v>475756</v>
      </c>
      <c r="D80" s="41">
        <f t="shared" ref="D80:D85" si="6">$E$17</f>
        <v>4.6200000000000005E-2</v>
      </c>
      <c r="E80" s="40">
        <f t="shared" si="4"/>
        <v>21979.927200000002</v>
      </c>
      <c r="F80" s="57">
        <f t="shared" si="5"/>
        <v>1.4841448643623499E-3</v>
      </c>
      <c r="G80" t="s">
        <v>213</v>
      </c>
    </row>
    <row r="81" spans="2:7">
      <c r="B81" s="49" t="s">
        <v>223</v>
      </c>
      <c r="C81" s="40">
        <v>432499</v>
      </c>
      <c r="D81" s="41">
        <f t="shared" si="6"/>
        <v>4.6200000000000005E-2</v>
      </c>
      <c r="E81" s="40">
        <f t="shared" si="4"/>
        <v>19981.453800000003</v>
      </c>
      <c r="F81" s="57">
        <f t="shared" si="5"/>
        <v>1.3492024686853176E-3</v>
      </c>
      <c r="G81" t="s">
        <v>213</v>
      </c>
    </row>
    <row r="82" spans="2:7">
      <c r="B82" s="49" t="s">
        <v>224</v>
      </c>
      <c r="C82" s="40">
        <v>394368</v>
      </c>
      <c r="D82" s="41">
        <f t="shared" si="6"/>
        <v>4.6200000000000005E-2</v>
      </c>
      <c r="E82" s="40">
        <f t="shared" si="4"/>
        <v>18219.801600000003</v>
      </c>
      <c r="F82" s="57">
        <f t="shared" si="5"/>
        <v>1.2302508888355611E-3</v>
      </c>
      <c r="G82" t="s">
        <v>213</v>
      </c>
    </row>
    <row r="83" spans="2:7">
      <c r="B83" s="49" t="s">
        <v>225</v>
      </c>
      <c r="C83" s="40">
        <v>178366</v>
      </c>
      <c r="D83" s="41">
        <f t="shared" si="6"/>
        <v>4.6200000000000005E-2</v>
      </c>
      <c r="E83" s="40">
        <f t="shared" si="4"/>
        <v>8240.5092000000004</v>
      </c>
      <c r="F83" s="57">
        <f t="shared" si="5"/>
        <v>5.5642174323992737E-4</v>
      </c>
      <c r="G83" t="s">
        <v>213</v>
      </c>
    </row>
    <row r="84" spans="2:7">
      <c r="B84" s="49" t="s">
        <v>226</v>
      </c>
      <c r="C84" s="40">
        <v>104708</v>
      </c>
      <c r="D84" s="41">
        <f t="shared" si="6"/>
        <v>4.6200000000000005E-2</v>
      </c>
      <c r="E84" s="40">
        <f t="shared" si="4"/>
        <v>4837.5096000000003</v>
      </c>
      <c r="F84" s="57">
        <f t="shared" si="5"/>
        <v>3.2664189302426648E-4</v>
      </c>
      <c r="G84" t="s">
        <v>213</v>
      </c>
    </row>
    <row r="85" spans="2:7">
      <c r="B85" s="49" t="s">
        <v>227</v>
      </c>
      <c r="C85" s="40">
        <v>69740</v>
      </c>
      <c r="D85" s="41">
        <f t="shared" si="6"/>
        <v>4.6200000000000005E-2</v>
      </c>
      <c r="E85" s="40">
        <f t="shared" si="4"/>
        <v>3221.9880000000003</v>
      </c>
      <c r="F85" s="57">
        <f t="shared" si="5"/>
        <v>2.1755745138396631E-4</v>
      </c>
      <c r="G85" t="s">
        <v>213</v>
      </c>
    </row>
    <row r="86" spans="2:7">
      <c r="B86" s="51" t="s">
        <v>228</v>
      </c>
      <c r="C86" s="52">
        <v>14809826</v>
      </c>
      <c r="D86" s="53" t="s">
        <v>215</v>
      </c>
      <c r="E86" s="52">
        <f>SUM(E72:E85)</f>
        <v>855545.9468022075</v>
      </c>
      <c r="F86" s="65">
        <f>SUM(F72:F85)</f>
        <v>4.3453539632481025E-2</v>
      </c>
      <c r="G86" t="s">
        <v>215</v>
      </c>
    </row>
    <row r="89" spans="2:7">
      <c r="B89" s="37" t="s">
        <v>231</v>
      </c>
    </row>
    <row r="90" spans="2:7">
      <c r="B90" t="s">
        <v>232</v>
      </c>
    </row>
    <row r="91" spans="2:7">
      <c r="B91" t="s">
        <v>233</v>
      </c>
    </row>
    <row r="93" spans="2:7">
      <c r="C93" s="190" t="s">
        <v>234</v>
      </c>
      <c r="D93" s="191" t="s">
        <v>235</v>
      </c>
      <c r="E93" s="191" t="s">
        <v>236</v>
      </c>
      <c r="F93" s="192"/>
      <c r="G93" s="61" t="s">
        <v>196</v>
      </c>
    </row>
    <row r="94" spans="2:7">
      <c r="B94" s="160" t="s">
        <v>237</v>
      </c>
      <c r="C94" s="169"/>
      <c r="D94" s="169">
        <v>13.057</v>
      </c>
      <c r="E94" s="169"/>
      <c r="F94" s="170"/>
    </row>
    <row r="95" spans="2:7">
      <c r="B95" s="171" t="s">
        <v>238</v>
      </c>
      <c r="C95" s="165">
        <v>0</v>
      </c>
      <c r="D95" s="168">
        <f>(D94/2)*(D23+D24)</f>
        <v>1.2423690882187419</v>
      </c>
      <c r="E95" s="158">
        <v>0</v>
      </c>
      <c r="F95" s="172">
        <f>E95/D94</f>
        <v>0</v>
      </c>
      <c r="G95" t="s">
        <v>239</v>
      </c>
    </row>
    <row r="96" spans="2:7">
      <c r="B96" s="171" t="s">
        <v>240</v>
      </c>
      <c r="C96" s="159">
        <f>E9</f>
        <v>0.52391004510564798</v>
      </c>
      <c r="D96" s="168">
        <f>(D94/2)*D22</f>
        <v>5.2861309117812576</v>
      </c>
      <c r="E96" s="168">
        <v>2.7583335000000004</v>
      </c>
      <c r="F96" s="173">
        <f>E96/D94</f>
        <v>0.21125323581220803</v>
      </c>
      <c r="G96" t="s">
        <v>241</v>
      </c>
    </row>
    <row r="97" spans="2:7">
      <c r="B97" s="163" t="s">
        <v>242</v>
      </c>
      <c r="C97" s="164">
        <f>E17</f>
        <v>4.6200000000000005E-2</v>
      </c>
      <c r="D97" s="174">
        <f>D94/2</f>
        <v>6.5285000000000002</v>
      </c>
      <c r="E97" s="174">
        <v>0.23139999999999999</v>
      </c>
      <c r="F97" s="175">
        <f>E97/D94</f>
        <v>1.7722294554645017E-2</v>
      </c>
      <c r="G97" t="s">
        <v>243</v>
      </c>
    </row>
    <row r="98" spans="2:7">
      <c r="F98" s="193">
        <f>SUM(F95:F97)</f>
        <v>0.22897553036685306</v>
      </c>
    </row>
    <row r="99" spans="2:7">
      <c r="D99" s="239"/>
    </row>
    <row r="101" spans="2:7">
      <c r="B101" s="37" t="s">
        <v>244</v>
      </c>
    </row>
    <row r="102" spans="2:7">
      <c r="C102" s="61" t="s">
        <v>114</v>
      </c>
      <c r="D102" s="207" t="s">
        <v>196</v>
      </c>
    </row>
    <row r="103" spans="2:7">
      <c r="B103" s="195" t="s">
        <v>245</v>
      </c>
      <c r="C103" s="194">
        <v>0.05</v>
      </c>
      <c r="D103" t="s">
        <v>246</v>
      </c>
    </row>
    <row r="104" spans="2:7">
      <c r="B104" s="119"/>
    </row>
    <row r="106" spans="2:7">
      <c r="B106" s="37" t="s">
        <v>247</v>
      </c>
    </row>
    <row r="107" spans="2:7">
      <c r="B107" s="92"/>
      <c r="C107" s="61" t="s">
        <v>114</v>
      </c>
      <c r="D107" s="207" t="s">
        <v>196</v>
      </c>
    </row>
    <row r="108" spans="2:7">
      <c r="B108" s="195" t="s">
        <v>245</v>
      </c>
      <c r="C108" s="194">
        <f>C103</f>
        <v>0.05</v>
      </c>
      <c r="D108" t="s">
        <v>248</v>
      </c>
    </row>
    <row r="110" spans="2:7">
      <c r="B110" s="37" t="s">
        <v>249</v>
      </c>
    </row>
    <row r="112" spans="2:7">
      <c r="B112" s="54" t="s">
        <v>207</v>
      </c>
      <c r="C112" s="55" t="s">
        <v>208</v>
      </c>
      <c r="D112" s="55" t="s">
        <v>176</v>
      </c>
      <c r="E112" s="55" t="s">
        <v>209</v>
      </c>
      <c r="F112" s="56" t="s">
        <v>114</v>
      </c>
      <c r="G112" s="61" t="s">
        <v>196</v>
      </c>
    </row>
    <row r="113" spans="2:8">
      <c r="B113" s="49" t="s">
        <v>250</v>
      </c>
      <c r="C113" s="40">
        <v>11356539</v>
      </c>
      <c r="D113" s="44">
        <f>E9</f>
        <v>0.52391004510564798</v>
      </c>
      <c r="E113" s="40">
        <f>D113*C113</f>
        <v>5949804.85973405</v>
      </c>
      <c r="F113" s="63">
        <f>E113/C118</f>
        <v>0.37993892806543506</v>
      </c>
      <c r="G113" t="s">
        <v>251</v>
      </c>
    </row>
    <row r="114" spans="2:8">
      <c r="B114" s="50" t="s">
        <v>252</v>
      </c>
      <c r="C114" s="42">
        <v>2870575</v>
      </c>
      <c r="D114" s="38"/>
      <c r="E114" s="38"/>
      <c r="F114" s="64"/>
      <c r="G114" t="s">
        <v>215</v>
      </c>
    </row>
    <row r="115" spans="2:8">
      <c r="B115" s="49" t="s">
        <v>253</v>
      </c>
      <c r="C115" s="40">
        <v>829880</v>
      </c>
      <c r="D115" s="44">
        <v>1</v>
      </c>
      <c r="E115" s="45">
        <v>829880</v>
      </c>
      <c r="F115" s="57">
        <f>E115/C118</f>
        <v>5.2993959475342689E-2</v>
      </c>
      <c r="G115" t="s">
        <v>254</v>
      </c>
    </row>
    <row r="116" spans="2:8">
      <c r="B116" s="50" t="s">
        <v>255</v>
      </c>
      <c r="C116" s="42">
        <v>524840</v>
      </c>
      <c r="D116" s="38" t="s">
        <v>215</v>
      </c>
      <c r="E116" s="38" t="s">
        <v>215</v>
      </c>
      <c r="F116" s="64" t="s">
        <v>215</v>
      </c>
      <c r="G116" t="s">
        <v>215</v>
      </c>
    </row>
    <row r="117" spans="2:8">
      <c r="B117" s="50" t="s">
        <v>256</v>
      </c>
      <c r="C117" s="42">
        <v>78065</v>
      </c>
      <c r="D117" s="38" t="s">
        <v>215</v>
      </c>
      <c r="E117" s="38" t="s">
        <v>215</v>
      </c>
      <c r="F117" s="64" t="s">
        <v>215</v>
      </c>
      <c r="G117" t="s">
        <v>215</v>
      </c>
    </row>
    <row r="118" spans="2:8">
      <c r="B118" s="51" t="s">
        <v>257</v>
      </c>
      <c r="C118" s="52">
        <v>15659898</v>
      </c>
      <c r="D118" s="53" t="s">
        <v>215</v>
      </c>
      <c r="E118" s="59">
        <v>8098065</v>
      </c>
      <c r="F118" s="65">
        <f>F113+F115</f>
        <v>0.43293288754077774</v>
      </c>
      <c r="G118" t="s">
        <v>215</v>
      </c>
    </row>
    <row r="120" spans="2:8">
      <c r="B120" s="37" t="s">
        <v>258</v>
      </c>
      <c r="C120" s="233"/>
      <c r="E120" s="234"/>
    </row>
    <row r="121" spans="2:8">
      <c r="C121" s="233"/>
      <c r="E121" s="234"/>
    </row>
    <row r="122" spans="2:8">
      <c r="B122" s="54" t="s">
        <v>207</v>
      </c>
      <c r="C122" s="55" t="s">
        <v>208</v>
      </c>
      <c r="D122" s="55" t="s">
        <v>176</v>
      </c>
      <c r="E122" s="55" t="s">
        <v>209</v>
      </c>
      <c r="F122" s="56" t="s">
        <v>114</v>
      </c>
      <c r="G122" s="61" t="s">
        <v>196</v>
      </c>
      <c r="H122" s="61" t="s">
        <v>259</v>
      </c>
    </row>
    <row r="123" spans="2:8">
      <c r="B123" s="49" t="s">
        <v>250</v>
      </c>
      <c r="C123" s="40">
        <v>11356539</v>
      </c>
      <c r="D123" s="246">
        <v>0.46700000000000003</v>
      </c>
      <c r="E123" s="40">
        <f>D123*C123</f>
        <v>5303503.7130000005</v>
      </c>
      <c r="F123" s="63">
        <f>E123/C128</f>
        <v>0.32864484108828312</v>
      </c>
      <c r="G123" t="s">
        <v>260</v>
      </c>
    </row>
    <row r="124" spans="2:8">
      <c r="B124" s="49" t="s">
        <v>253</v>
      </c>
      <c r="C124" s="40">
        <v>829880</v>
      </c>
      <c r="D124" s="44">
        <v>1</v>
      </c>
      <c r="E124" s="40">
        <v>829880</v>
      </c>
      <c r="F124" s="63">
        <f>E124/C128</f>
        <v>5.142558494940086E-2</v>
      </c>
      <c r="G124" t="s">
        <v>254</v>
      </c>
    </row>
    <row r="125" spans="2:8">
      <c r="B125" s="49" t="s">
        <v>261</v>
      </c>
      <c r="C125" s="40">
        <f>(C124+C127)*1/3</f>
        <v>477594.66666666669</v>
      </c>
      <c r="D125" s="44">
        <v>0</v>
      </c>
      <c r="E125" s="45"/>
      <c r="F125" s="57"/>
      <c r="G125" t="s">
        <v>262</v>
      </c>
    </row>
    <row r="126" spans="2:8">
      <c r="B126" s="248" t="str">
        <f>B114</f>
        <v>Distribution of electricity</v>
      </c>
      <c r="C126" s="249">
        <f>C114</f>
        <v>2870575</v>
      </c>
      <c r="D126" s="250">
        <v>0</v>
      </c>
      <c r="E126" s="251"/>
      <c r="F126" s="252"/>
    </row>
    <row r="127" spans="2:8">
      <c r="B127" s="50" t="s">
        <v>263</v>
      </c>
      <c r="C127" s="42">
        <f>C118-(C123+C124+C126)</f>
        <v>602904</v>
      </c>
      <c r="D127" s="235">
        <v>0</v>
      </c>
      <c r="E127" s="38"/>
      <c r="F127" s="64"/>
    </row>
    <row r="128" spans="2:8">
      <c r="B128" s="50" t="s">
        <v>151</v>
      </c>
      <c r="C128" s="42">
        <f>SUM(C123:C127)</f>
        <v>16137492.666666666</v>
      </c>
      <c r="D128" s="38"/>
      <c r="E128" s="38"/>
      <c r="F128" s="65">
        <f>SUM(F123:F124)</f>
        <v>0.38007042603768398</v>
      </c>
    </row>
    <row r="129" spans="2:7">
      <c r="C129" s="233"/>
      <c r="F129" s="247"/>
    </row>
    <row r="130" spans="2:7">
      <c r="C130" s="247"/>
      <c r="F130" s="247"/>
    </row>
    <row r="131" spans="2:7">
      <c r="B131" s="37" t="s">
        <v>264</v>
      </c>
    </row>
    <row r="132" spans="2:7">
      <c r="C132" s="181" t="s">
        <v>114</v>
      </c>
      <c r="D132" s="61" t="s">
        <v>196</v>
      </c>
    </row>
    <row r="133" spans="2:7">
      <c r="B133" s="211" t="s">
        <v>145</v>
      </c>
      <c r="C133" s="210">
        <f>F128</f>
        <v>0.38007042603768398</v>
      </c>
      <c r="D133" t="s">
        <v>265</v>
      </c>
    </row>
    <row r="135" spans="2:7">
      <c r="B135" s="37" t="s">
        <v>266</v>
      </c>
    </row>
    <row r="136" spans="2:7">
      <c r="C136" s="181" t="s">
        <v>114</v>
      </c>
      <c r="D136" s="61" t="s">
        <v>196</v>
      </c>
    </row>
    <row r="137" spans="2:7">
      <c r="B137" s="211" t="s">
        <v>267</v>
      </c>
      <c r="C137" s="210">
        <f>F128</f>
        <v>0.38007042603768398</v>
      </c>
      <c r="D137" t="s">
        <v>265</v>
      </c>
    </row>
    <row r="141" spans="2:7">
      <c r="B141" s="37" t="s">
        <v>268</v>
      </c>
    </row>
    <row r="143" spans="2:7">
      <c r="B143" s="54" t="s">
        <v>207</v>
      </c>
      <c r="C143" s="55" t="s">
        <v>208</v>
      </c>
      <c r="D143" s="55" t="s">
        <v>176</v>
      </c>
      <c r="E143" s="55" t="s">
        <v>209</v>
      </c>
      <c r="F143" s="56" t="s">
        <v>114</v>
      </c>
      <c r="G143" s="61" t="s">
        <v>196</v>
      </c>
    </row>
    <row r="144" spans="2:7">
      <c r="B144" s="49" t="s">
        <v>269</v>
      </c>
      <c r="C144" s="40">
        <v>6305442</v>
      </c>
      <c r="D144" s="44">
        <v>1</v>
      </c>
      <c r="E144" s="40">
        <v>6305442</v>
      </c>
      <c r="F144" s="57">
        <f>E144/$C$157</f>
        <v>0.40638971285439468</v>
      </c>
      <c r="G144" t="s">
        <v>254</v>
      </c>
    </row>
    <row r="145" spans="2:7">
      <c r="B145" s="49" t="s">
        <v>270</v>
      </c>
      <c r="C145" s="40">
        <v>3639935</v>
      </c>
      <c r="D145" s="44">
        <v>1</v>
      </c>
      <c r="E145" s="40">
        <v>3639935</v>
      </c>
      <c r="F145" s="57">
        <f>E145/$C$157</f>
        <v>0.23459610594446212</v>
      </c>
      <c r="G145" t="s">
        <v>254</v>
      </c>
    </row>
    <row r="146" spans="2:7">
      <c r="B146" s="49" t="s">
        <v>271</v>
      </c>
      <c r="C146" s="40">
        <v>1940898</v>
      </c>
      <c r="D146" s="44">
        <v>0.05</v>
      </c>
      <c r="E146" s="39">
        <f>D146*C146</f>
        <v>97044.900000000009</v>
      </c>
      <c r="F146" s="57">
        <f>E146/$C$157</f>
        <v>6.2546049975534543E-3</v>
      </c>
      <c r="G146" t="s">
        <v>272</v>
      </c>
    </row>
    <row r="147" spans="2:7">
      <c r="B147" s="49" t="s">
        <v>273</v>
      </c>
      <c r="C147" s="40">
        <v>1927378</v>
      </c>
      <c r="D147" s="44">
        <v>1</v>
      </c>
      <c r="E147" s="39">
        <f t="shared" ref="E147:E150" si="7">D147*C147</f>
        <v>1927378</v>
      </c>
      <c r="F147" s="57">
        <f t="shared" ref="F147:F156" si="8">E147/$C$157</f>
        <v>0.12422072742590884</v>
      </c>
      <c r="G147" t="s">
        <v>254</v>
      </c>
    </row>
    <row r="148" spans="2:7">
      <c r="B148" s="49" t="s">
        <v>274</v>
      </c>
      <c r="C148" s="40">
        <v>386889</v>
      </c>
      <c r="D148" s="44">
        <v>1</v>
      </c>
      <c r="E148" s="39">
        <f t="shared" si="7"/>
        <v>386889</v>
      </c>
      <c r="F148" s="57">
        <f t="shared" si="8"/>
        <v>2.4935240006414127E-2</v>
      </c>
      <c r="G148" t="s">
        <v>254</v>
      </c>
    </row>
    <row r="149" spans="2:7">
      <c r="B149" s="49" t="s">
        <v>275</v>
      </c>
      <c r="C149" s="40">
        <v>330076</v>
      </c>
      <c r="D149" s="44">
        <v>0.05</v>
      </c>
      <c r="E149" s="39">
        <f t="shared" si="7"/>
        <v>16503.8</v>
      </c>
      <c r="F149" s="57">
        <f t="shared" si="8"/>
        <v>1.0636803166227456E-3</v>
      </c>
      <c r="G149" t="s">
        <v>272</v>
      </c>
    </row>
    <row r="150" spans="2:7">
      <c r="B150" s="49" t="s">
        <v>276</v>
      </c>
      <c r="C150" s="40">
        <v>305254</v>
      </c>
      <c r="D150" s="44">
        <v>0.05</v>
      </c>
      <c r="E150" s="39">
        <f t="shared" si="7"/>
        <v>15262.7</v>
      </c>
      <c r="F150" s="57">
        <f t="shared" si="8"/>
        <v>9.8369063903573617E-4</v>
      </c>
      <c r="G150" t="s">
        <v>272</v>
      </c>
    </row>
    <row r="151" spans="2:7">
      <c r="B151" s="50" t="s">
        <v>277</v>
      </c>
      <c r="C151" s="42">
        <v>290872</v>
      </c>
      <c r="D151" s="38" t="s">
        <v>215</v>
      </c>
      <c r="E151" s="38" t="s">
        <v>215</v>
      </c>
      <c r="F151" s="58"/>
      <c r="G151" t="s">
        <v>215</v>
      </c>
    </row>
    <row r="152" spans="2:7">
      <c r="B152" s="50" t="s">
        <v>278</v>
      </c>
      <c r="C152" s="42">
        <v>191611</v>
      </c>
      <c r="D152" s="38" t="s">
        <v>215</v>
      </c>
      <c r="E152" s="38" t="s">
        <v>215</v>
      </c>
      <c r="F152" s="58"/>
      <c r="G152" t="s">
        <v>215</v>
      </c>
    </row>
    <row r="153" spans="2:7">
      <c r="B153" s="50" t="s">
        <v>279</v>
      </c>
      <c r="C153" s="42">
        <v>94009</v>
      </c>
      <c r="D153" s="38" t="s">
        <v>215</v>
      </c>
      <c r="E153" s="38" t="s">
        <v>215</v>
      </c>
      <c r="F153" s="58"/>
      <c r="G153" t="s">
        <v>215</v>
      </c>
    </row>
    <row r="154" spans="2:7">
      <c r="B154" s="49" t="s">
        <v>280</v>
      </c>
      <c r="C154" s="40">
        <v>64136</v>
      </c>
      <c r="D154" s="44">
        <v>0.05</v>
      </c>
      <c r="E154" s="39">
        <f>D154*C154</f>
        <v>3206.8</v>
      </c>
      <c r="F154" s="57">
        <f t="shared" si="8"/>
        <v>2.0668028207720775E-4</v>
      </c>
      <c r="G154" t="s">
        <v>272</v>
      </c>
    </row>
    <row r="155" spans="2:7">
      <c r="B155" s="50" t="s">
        <v>281</v>
      </c>
      <c r="C155" s="42">
        <v>38160</v>
      </c>
      <c r="D155" s="38" t="s">
        <v>215</v>
      </c>
      <c r="E155" s="38" t="s">
        <v>215</v>
      </c>
      <c r="F155" s="58"/>
      <c r="G155" t="s">
        <v>215</v>
      </c>
    </row>
    <row r="156" spans="2:7">
      <c r="B156" s="49" t="s">
        <v>282</v>
      </c>
      <c r="C156" s="40">
        <v>1091</v>
      </c>
      <c r="D156" s="44">
        <v>0.05</v>
      </c>
      <c r="E156" s="39">
        <f>D156*C156</f>
        <v>54.550000000000004</v>
      </c>
      <c r="F156" s="57">
        <f t="shared" si="8"/>
        <v>3.5157818970037678E-6</v>
      </c>
      <c r="G156" t="s">
        <v>272</v>
      </c>
    </row>
    <row r="157" spans="2:7">
      <c r="B157" s="51" t="s">
        <v>283</v>
      </c>
      <c r="C157" s="52">
        <v>15515752</v>
      </c>
      <c r="D157" s="53" t="s">
        <v>215</v>
      </c>
      <c r="E157" s="52">
        <v>12259644</v>
      </c>
      <c r="F157" s="65">
        <f>SUM(F144:F156)</f>
        <v>0.79865395824836594</v>
      </c>
      <c r="G157" t="s">
        <v>215</v>
      </c>
    </row>
    <row r="160" spans="2:7">
      <c r="B160" s="37" t="s">
        <v>284</v>
      </c>
    </row>
    <row r="161" spans="2:7">
      <c r="C161" s="176" t="s">
        <v>176</v>
      </c>
      <c r="D161" s="178" t="s">
        <v>285</v>
      </c>
      <c r="E161" s="188" t="s">
        <v>114</v>
      </c>
      <c r="F161" s="61" t="s">
        <v>196</v>
      </c>
    </row>
    <row r="162" spans="2:7">
      <c r="B162" s="160" t="s">
        <v>286</v>
      </c>
      <c r="C162" s="166">
        <v>0.25</v>
      </c>
      <c r="D162" s="166">
        <f>C108</f>
        <v>0.05</v>
      </c>
      <c r="E162" s="162">
        <f>D162*C162</f>
        <v>1.2500000000000001E-2</v>
      </c>
      <c r="F162" t="s">
        <v>248</v>
      </c>
    </row>
    <row r="163" spans="2:7">
      <c r="B163" s="163" t="s">
        <v>287</v>
      </c>
      <c r="C163" s="167">
        <v>0.75</v>
      </c>
      <c r="D163" s="184">
        <f>F157</f>
        <v>0.79865395824836594</v>
      </c>
      <c r="E163" s="198">
        <f>D163*C163</f>
        <v>0.59899046868627448</v>
      </c>
      <c r="F163" t="s">
        <v>288</v>
      </c>
    </row>
    <row r="164" spans="2:7">
      <c r="E164" s="196">
        <f>E163+E162</f>
        <v>0.61149046868627444</v>
      </c>
    </row>
    <row r="167" spans="2:7">
      <c r="B167" s="37" t="s">
        <v>289</v>
      </c>
    </row>
    <row r="168" spans="2:7">
      <c r="C168" s="180" t="s">
        <v>114</v>
      </c>
      <c r="D168" s="61" t="s">
        <v>196</v>
      </c>
    </row>
    <row r="169" spans="2:7">
      <c r="B169" s="160" t="s">
        <v>290</v>
      </c>
      <c r="C169" s="162">
        <f>F157</f>
        <v>0.79865395824836594</v>
      </c>
      <c r="D169" t="s">
        <v>291</v>
      </c>
    </row>
    <row r="170" spans="2:7">
      <c r="B170" s="163" t="s">
        <v>292</v>
      </c>
      <c r="C170" s="199">
        <v>1</v>
      </c>
      <c r="D170" t="s">
        <v>254</v>
      </c>
    </row>
    <row r="171" spans="2:7">
      <c r="C171" s="196">
        <f>AVERAGE(C169:C170)</f>
        <v>0.89932697912418291</v>
      </c>
    </row>
    <row r="172" spans="2:7">
      <c r="C172" s="140"/>
    </row>
    <row r="173" spans="2:7">
      <c r="B173" s="37" t="s">
        <v>293</v>
      </c>
      <c r="G173" t="s">
        <v>152</v>
      </c>
    </row>
    <row r="174" spans="2:7">
      <c r="C174" s="180" t="s">
        <v>114</v>
      </c>
      <c r="D174" s="61" t="s">
        <v>196</v>
      </c>
    </row>
    <row r="175" spans="2:7">
      <c r="B175" s="163" t="s">
        <v>292</v>
      </c>
      <c r="C175" s="199">
        <v>0.5</v>
      </c>
      <c r="D175" s="362" t="s">
        <v>294</v>
      </c>
      <c r="E175" s="362"/>
    </row>
    <row r="176" spans="2:7">
      <c r="C176" s="380">
        <f>AVERAGE(C175:C175)</f>
        <v>0.5</v>
      </c>
    </row>
    <row r="177" spans="2:7">
      <c r="C177" s="140"/>
    </row>
    <row r="178" spans="2:7">
      <c r="B178" s="37" t="s">
        <v>295</v>
      </c>
    </row>
    <row r="179" spans="2:7">
      <c r="C179" s="176" t="s">
        <v>208</v>
      </c>
      <c r="D179" s="377" t="s">
        <v>176</v>
      </c>
      <c r="E179" s="377" t="s">
        <v>209</v>
      </c>
      <c r="F179" s="378" t="s">
        <v>114</v>
      </c>
      <c r="G179" s="61" t="s">
        <v>196</v>
      </c>
    </row>
    <row r="180" spans="2:7">
      <c r="B180" s="367" t="s">
        <v>296</v>
      </c>
      <c r="C180" s="368">
        <v>170591954.44999987</v>
      </c>
      <c r="D180" s="369">
        <v>1</v>
      </c>
      <c r="E180" s="370">
        <f>D180*C180</f>
        <v>170591954.44999987</v>
      </c>
      <c r="F180" s="375">
        <f>E180/$C$186</f>
        <v>7.8589173555562927E-2</v>
      </c>
      <c r="G180" t="s">
        <v>254</v>
      </c>
    </row>
    <row r="181" spans="2:7">
      <c r="B181" s="371" t="s">
        <v>297</v>
      </c>
      <c r="C181" s="372">
        <v>14283859.799999997</v>
      </c>
      <c r="D181" s="373">
        <v>0.05</v>
      </c>
      <c r="E181" s="374">
        <f t="shared" ref="E181:E185" si="9">D181*C181</f>
        <v>714192.98999999987</v>
      </c>
      <c r="F181" s="376">
        <f t="shared" ref="F181:F185" si="10">E181/$C$186</f>
        <v>3.2901807722548462E-4</v>
      </c>
      <c r="G181" t="s">
        <v>272</v>
      </c>
    </row>
    <row r="182" spans="2:7">
      <c r="B182" s="371" t="s">
        <v>298</v>
      </c>
      <c r="C182" s="372">
        <v>274703713.57000005</v>
      </c>
      <c r="D182" s="373">
        <v>1</v>
      </c>
      <c r="E182" s="374">
        <f t="shared" si="9"/>
        <v>274703713.57000005</v>
      </c>
      <c r="F182" s="376">
        <f t="shared" si="10"/>
        <v>0.12655191091346571</v>
      </c>
      <c r="G182" t="s">
        <v>254</v>
      </c>
    </row>
    <row r="183" spans="2:7">
      <c r="B183" s="371" t="s">
        <v>299</v>
      </c>
      <c r="C183" s="372">
        <v>189373358.37000006</v>
      </c>
      <c r="D183" s="373">
        <v>1</v>
      </c>
      <c r="E183" s="374">
        <f t="shared" si="9"/>
        <v>189373358.37000006</v>
      </c>
      <c r="F183" s="376">
        <f t="shared" si="10"/>
        <v>8.7241486714438446E-2</v>
      </c>
      <c r="G183" t="s">
        <v>254</v>
      </c>
    </row>
    <row r="184" spans="2:7">
      <c r="B184" s="371" t="s">
        <v>300</v>
      </c>
      <c r="C184" s="372">
        <v>1488008507.5199988</v>
      </c>
      <c r="D184" s="373">
        <v>1</v>
      </c>
      <c r="E184" s="374">
        <f t="shared" si="9"/>
        <v>1488008507.5199988</v>
      </c>
      <c r="F184" s="376">
        <f t="shared" si="10"/>
        <v>0.68550336518899913</v>
      </c>
      <c r="G184" t="s">
        <v>254</v>
      </c>
    </row>
    <row r="185" spans="2:7">
      <c r="B185" s="371" t="s">
        <v>301</v>
      </c>
      <c r="C185" s="372">
        <v>33718697.859999999</v>
      </c>
      <c r="D185" s="373">
        <v>0.05</v>
      </c>
      <c r="E185" s="374">
        <f t="shared" si="9"/>
        <v>1685934.8930000002</v>
      </c>
      <c r="F185" s="376">
        <f t="shared" si="10"/>
        <v>7.7668510415120887E-4</v>
      </c>
      <c r="G185" t="s">
        <v>272</v>
      </c>
    </row>
    <row r="186" spans="2:7">
      <c r="B186" s="363" t="s">
        <v>302</v>
      </c>
      <c r="C186" s="364">
        <f>SUM(C180:C185)</f>
        <v>2170680091.5699987</v>
      </c>
      <c r="D186" s="365"/>
      <c r="E186" s="366"/>
      <c r="F186" s="379">
        <f>SUM(F180:F185)</f>
        <v>0.97899163955384283</v>
      </c>
    </row>
    <row r="187" spans="2:7">
      <c r="C187" s="140"/>
    </row>
    <row r="188" spans="2:7">
      <c r="C188" s="140"/>
    </row>
    <row r="189" spans="2:7">
      <c r="B189" s="37" t="s">
        <v>303</v>
      </c>
      <c r="C189" s="140"/>
    </row>
    <row r="190" spans="2:7">
      <c r="C190" s="177" t="s">
        <v>204</v>
      </c>
      <c r="D190" s="187" t="s">
        <v>176</v>
      </c>
      <c r="E190" s="178" t="s">
        <v>114</v>
      </c>
      <c r="F190" s="61" t="s">
        <v>196</v>
      </c>
    </row>
    <row r="191" spans="2:7">
      <c r="B191" s="160" t="s">
        <v>304</v>
      </c>
      <c r="C191" s="166">
        <f>C103</f>
        <v>0.05</v>
      </c>
      <c r="D191" s="185">
        <v>0.33333333333333298</v>
      </c>
      <c r="E191" s="162">
        <f>C191*D191</f>
        <v>1.6666666666666649E-2</v>
      </c>
    </row>
    <row r="192" spans="2:7">
      <c r="B192" s="163" t="s">
        <v>290</v>
      </c>
      <c r="C192" s="184">
        <f>F157</f>
        <v>0.79865395824836594</v>
      </c>
      <c r="D192" s="186">
        <v>0.66666666666666663</v>
      </c>
      <c r="E192" s="162">
        <f>C192*D192</f>
        <v>0.53243597216557725</v>
      </c>
    </row>
    <row r="193" spans="2:7">
      <c r="C193" s="140"/>
      <c r="E193" s="197">
        <f>E191+E192</f>
        <v>0.54910263883224386</v>
      </c>
      <c r="F193" s="200">
        <f>E193/2</f>
        <v>0.27455131941612193</v>
      </c>
      <c r="G193" t="s">
        <v>305</v>
      </c>
    </row>
    <row r="194" spans="2:7">
      <c r="C194" s="140"/>
    </row>
    <row r="195" spans="2:7">
      <c r="C195" s="140"/>
    </row>
    <row r="196" spans="2:7">
      <c r="B196" s="37" t="s">
        <v>306</v>
      </c>
    </row>
    <row r="197" spans="2:7">
      <c r="C197" s="223" t="s">
        <v>114</v>
      </c>
      <c r="D197" s="223" t="s">
        <v>196</v>
      </c>
    </row>
    <row r="198" spans="2:7">
      <c r="C198" s="196">
        <v>0.05</v>
      </c>
      <c r="D198" s="209" t="s">
        <v>307</v>
      </c>
    </row>
    <row r="199" spans="2:7">
      <c r="C199" s="140"/>
      <c r="D199" t="s">
        <v>215</v>
      </c>
    </row>
    <row r="201" spans="2:7">
      <c r="B201" s="37" t="s">
        <v>308</v>
      </c>
    </row>
    <row r="204" spans="2:7">
      <c r="B204" s="54" t="s">
        <v>207</v>
      </c>
      <c r="C204" s="55" t="s">
        <v>208</v>
      </c>
      <c r="D204" s="55" t="s">
        <v>176</v>
      </c>
      <c r="E204" s="55" t="s">
        <v>209</v>
      </c>
      <c r="F204" s="56" t="s">
        <v>114</v>
      </c>
      <c r="G204" s="61" t="s">
        <v>196</v>
      </c>
    </row>
    <row r="205" spans="2:7">
      <c r="B205" s="49" t="s">
        <v>309</v>
      </c>
      <c r="C205" s="40">
        <v>9904955</v>
      </c>
      <c r="D205" s="41">
        <f>$E$17</f>
        <v>4.6200000000000005E-2</v>
      </c>
      <c r="E205" s="40">
        <f>D205*C205</f>
        <v>457608.92100000003</v>
      </c>
      <c r="F205" s="57">
        <f>E205/$C$226</f>
        <v>1.7077341008333888E-2</v>
      </c>
      <c r="G205" t="s">
        <v>213</v>
      </c>
    </row>
    <row r="206" spans="2:7">
      <c r="B206" s="49" t="s">
        <v>310</v>
      </c>
      <c r="C206" s="40">
        <v>3059352</v>
      </c>
      <c r="D206" s="41">
        <f>$E$17</f>
        <v>4.6200000000000005E-2</v>
      </c>
      <c r="E206" s="40">
        <f>D206*C206</f>
        <v>141342.06240000002</v>
      </c>
      <c r="F206" s="57">
        <f>E206/$C$226</f>
        <v>5.2746930570132123E-3</v>
      </c>
      <c r="G206" t="s">
        <v>213</v>
      </c>
    </row>
    <row r="207" spans="2:7">
      <c r="B207" s="49" t="s">
        <v>311</v>
      </c>
      <c r="C207" s="40">
        <v>2460728</v>
      </c>
      <c r="D207" s="44">
        <v>1</v>
      </c>
      <c r="E207" s="40">
        <v>2460728</v>
      </c>
      <c r="F207" s="57">
        <f>E207/C226</f>
        <v>9.1831013899214234E-2</v>
      </c>
      <c r="G207" t="s">
        <v>254</v>
      </c>
    </row>
    <row r="208" spans="2:7">
      <c r="B208" s="49" t="s">
        <v>312</v>
      </c>
      <c r="C208" s="40">
        <v>2023615</v>
      </c>
      <c r="D208" s="41">
        <f>$E$17</f>
        <v>4.6200000000000005E-2</v>
      </c>
      <c r="E208" s="40">
        <f>D208*C208</f>
        <v>93491.013000000006</v>
      </c>
      <c r="F208" s="57">
        <f>E208/$C$226</f>
        <v>3.4889571355528198E-3</v>
      </c>
      <c r="G208" t="s">
        <v>213</v>
      </c>
    </row>
    <row r="209" spans="2:7">
      <c r="B209" s="50" t="s">
        <v>313</v>
      </c>
      <c r="C209" s="42">
        <v>1959791</v>
      </c>
      <c r="D209" s="38" t="s">
        <v>215</v>
      </c>
      <c r="E209" s="38" t="s">
        <v>215</v>
      </c>
      <c r="F209" s="58"/>
      <c r="G209" t="s">
        <v>215</v>
      </c>
    </row>
    <row r="210" spans="2:7">
      <c r="B210" s="49" t="s">
        <v>314</v>
      </c>
      <c r="C210" s="40">
        <v>1442403</v>
      </c>
      <c r="D210" s="41">
        <f>$E$17</f>
        <v>4.6200000000000005E-2</v>
      </c>
      <c r="E210" s="40">
        <f>D210*C210</f>
        <v>66639.01860000001</v>
      </c>
      <c r="F210" s="57">
        <f>E210/$C$226</f>
        <v>2.4868773156913712E-3</v>
      </c>
      <c r="G210" t="s">
        <v>213</v>
      </c>
    </row>
    <row r="211" spans="2:7">
      <c r="B211" s="50" t="s">
        <v>315</v>
      </c>
      <c r="C211" s="42">
        <v>934530</v>
      </c>
      <c r="D211" s="38" t="s">
        <v>215</v>
      </c>
      <c r="E211" s="38" t="s">
        <v>215</v>
      </c>
      <c r="F211" s="58"/>
      <c r="G211" t="s">
        <v>215</v>
      </c>
    </row>
    <row r="212" spans="2:7">
      <c r="B212" s="49" t="s">
        <v>316</v>
      </c>
      <c r="C212" s="40">
        <v>891798</v>
      </c>
      <c r="D212" s="41">
        <f>$E$17</f>
        <v>4.6200000000000005E-2</v>
      </c>
      <c r="E212" s="40">
        <f>D212*C212</f>
        <v>41201.067600000002</v>
      </c>
      <c r="F212" s="57">
        <f>E212/$C$226</f>
        <v>1.5375676675512553E-3</v>
      </c>
      <c r="G212" t="s">
        <v>213</v>
      </c>
    </row>
    <row r="213" spans="2:7">
      <c r="B213" s="49" t="s">
        <v>317</v>
      </c>
      <c r="C213" s="40">
        <v>669904</v>
      </c>
      <c r="D213" s="44">
        <v>0.5</v>
      </c>
      <c r="E213" s="39">
        <v>334952</v>
      </c>
      <c r="F213" s="57">
        <f>E213/C226</f>
        <v>1.2499951952255431E-2</v>
      </c>
      <c r="G213" t="s">
        <v>318</v>
      </c>
    </row>
    <row r="214" spans="2:7">
      <c r="B214" s="50" t="s">
        <v>319</v>
      </c>
      <c r="C214" s="42">
        <v>663306</v>
      </c>
      <c r="D214" s="38" t="s">
        <v>215</v>
      </c>
      <c r="E214" s="38" t="s">
        <v>215</v>
      </c>
      <c r="F214" s="58"/>
      <c r="G214" t="s">
        <v>215</v>
      </c>
    </row>
    <row r="215" spans="2:7">
      <c r="B215" s="50" t="s">
        <v>320</v>
      </c>
      <c r="C215" s="42">
        <v>653423</v>
      </c>
      <c r="D215" s="38" t="s">
        <v>215</v>
      </c>
      <c r="E215" s="38" t="s">
        <v>215</v>
      </c>
      <c r="F215" s="58"/>
      <c r="G215" t="s">
        <v>215</v>
      </c>
    </row>
    <row r="216" spans="2:7">
      <c r="B216" s="50" t="s">
        <v>321</v>
      </c>
      <c r="C216" s="42">
        <v>576020</v>
      </c>
      <c r="D216" s="38" t="s">
        <v>215</v>
      </c>
      <c r="E216" s="38" t="s">
        <v>215</v>
      </c>
      <c r="F216" s="58"/>
      <c r="G216" t="s">
        <v>215</v>
      </c>
    </row>
    <row r="217" spans="2:7">
      <c r="B217" s="49" t="s">
        <v>322</v>
      </c>
      <c r="C217" s="40">
        <v>551813</v>
      </c>
      <c r="D217" s="41">
        <f>$E$17</f>
        <v>4.6200000000000005E-2</v>
      </c>
      <c r="E217" s="46">
        <f>D217*C217</f>
        <v>25493.760600000001</v>
      </c>
      <c r="F217" s="57">
        <f>E217/$C$226</f>
        <v>9.513923863189431E-4</v>
      </c>
      <c r="G217" t="s">
        <v>213</v>
      </c>
    </row>
    <row r="218" spans="2:7">
      <c r="B218" s="50" t="s">
        <v>323</v>
      </c>
      <c r="C218" s="42">
        <v>498887</v>
      </c>
      <c r="D218" s="38" t="s">
        <v>215</v>
      </c>
      <c r="E218" s="38" t="s">
        <v>215</v>
      </c>
      <c r="F218" s="64" t="s">
        <v>215</v>
      </c>
      <c r="G218" t="s">
        <v>215</v>
      </c>
    </row>
    <row r="219" spans="2:7">
      <c r="B219" s="50" t="s">
        <v>324</v>
      </c>
      <c r="C219" s="42">
        <v>126827</v>
      </c>
      <c r="D219" s="38" t="s">
        <v>215</v>
      </c>
      <c r="E219" s="38" t="s">
        <v>215</v>
      </c>
      <c r="F219" s="64" t="s">
        <v>215</v>
      </c>
      <c r="G219" t="s">
        <v>215</v>
      </c>
    </row>
    <row r="220" spans="2:7">
      <c r="B220" s="50" t="s">
        <v>325</v>
      </c>
      <c r="C220" s="42">
        <v>103097</v>
      </c>
      <c r="D220" s="38" t="s">
        <v>215</v>
      </c>
      <c r="E220" s="38" t="s">
        <v>215</v>
      </c>
      <c r="F220" s="64" t="s">
        <v>215</v>
      </c>
      <c r="G220" t="s">
        <v>215</v>
      </c>
    </row>
    <row r="221" spans="2:7">
      <c r="B221" s="50" t="s">
        <v>326</v>
      </c>
      <c r="C221" s="42">
        <v>74657</v>
      </c>
      <c r="D221" s="38" t="s">
        <v>215</v>
      </c>
      <c r="E221" s="38" t="s">
        <v>215</v>
      </c>
      <c r="F221" s="64" t="s">
        <v>215</v>
      </c>
      <c r="G221" t="s">
        <v>215</v>
      </c>
    </row>
    <row r="222" spans="2:7">
      <c r="B222" s="50" t="s">
        <v>327</v>
      </c>
      <c r="C222" s="42">
        <v>61504</v>
      </c>
      <c r="D222" s="38" t="s">
        <v>215</v>
      </c>
      <c r="E222" s="38" t="s">
        <v>215</v>
      </c>
      <c r="F222" s="64" t="s">
        <v>215</v>
      </c>
      <c r="G222" t="s">
        <v>215</v>
      </c>
    </row>
    <row r="223" spans="2:7">
      <c r="B223" s="50" t="s">
        <v>328</v>
      </c>
      <c r="C223" s="42">
        <v>59839</v>
      </c>
      <c r="D223" s="38" t="s">
        <v>215</v>
      </c>
      <c r="E223" s="38" t="s">
        <v>215</v>
      </c>
      <c r="F223" s="64" t="s">
        <v>215</v>
      </c>
      <c r="G223" t="s">
        <v>215</v>
      </c>
    </row>
    <row r="224" spans="2:7">
      <c r="B224" s="50" t="s">
        <v>329</v>
      </c>
      <c r="C224" s="42">
        <v>40394</v>
      </c>
      <c r="D224" s="38" t="s">
        <v>215</v>
      </c>
      <c r="E224" s="38" t="s">
        <v>215</v>
      </c>
      <c r="F224" s="64" t="s">
        <v>215</v>
      </c>
      <c r="G224" t="s">
        <v>215</v>
      </c>
    </row>
    <row r="225" spans="2:7">
      <c r="B225" s="201" t="s">
        <v>330</v>
      </c>
      <c r="C225" s="67">
        <v>39420</v>
      </c>
      <c r="D225" s="68" t="s">
        <v>215</v>
      </c>
      <c r="E225" s="68" t="s">
        <v>215</v>
      </c>
      <c r="F225" s="202" t="s">
        <v>215</v>
      </c>
      <c r="G225" t="s">
        <v>215</v>
      </c>
    </row>
    <row r="226" spans="2:7">
      <c r="B226" s="203" t="s">
        <v>331</v>
      </c>
      <c r="C226" s="204">
        <v>26796263</v>
      </c>
      <c r="D226" s="205" t="s">
        <v>215</v>
      </c>
      <c r="E226" s="204">
        <f>SUM(E205:E225)</f>
        <v>3621455.8432000005</v>
      </c>
      <c r="F226" s="206">
        <f>SUM(F205:F225)</f>
        <v>0.13514779442193114</v>
      </c>
      <c r="G226" t="s">
        <v>215</v>
      </c>
    </row>
    <row r="227" spans="2:7">
      <c r="B227" s="69" t="s">
        <v>332</v>
      </c>
      <c r="C227" s="70"/>
      <c r="D227" s="71"/>
      <c r="E227" s="70"/>
      <c r="F227" s="152">
        <f>F226-F213</f>
        <v>0.12264784246967571</v>
      </c>
    </row>
    <row r="229" spans="2:7">
      <c r="B229" s="37" t="s">
        <v>333</v>
      </c>
    </row>
    <row r="230" spans="2:7">
      <c r="C230" s="223" t="s">
        <v>114</v>
      </c>
      <c r="D230" s="223" t="s">
        <v>196</v>
      </c>
    </row>
    <row r="231" spans="2:7">
      <c r="C231" s="196">
        <f>AVERAGE(F227,F386)</f>
        <v>9.321512378941002E-2</v>
      </c>
      <c r="D231" s="209" t="s">
        <v>334</v>
      </c>
    </row>
    <row r="233" spans="2:7">
      <c r="B233" s="37" t="s">
        <v>335</v>
      </c>
    </row>
    <row r="234" spans="2:7">
      <c r="C234" s="61" t="s">
        <v>114</v>
      </c>
      <c r="D234" s="61" t="s">
        <v>196</v>
      </c>
    </row>
    <row r="235" spans="2:7">
      <c r="C235" s="267">
        <v>0.05</v>
      </c>
      <c r="D235" t="s">
        <v>336</v>
      </c>
    </row>
    <row r="238" spans="2:7">
      <c r="B238" s="37" t="s">
        <v>337</v>
      </c>
    </row>
    <row r="240" spans="2:7">
      <c r="B240" s="54" t="s">
        <v>207</v>
      </c>
      <c r="C240" s="55" t="s">
        <v>208</v>
      </c>
      <c r="D240" s="55" t="s">
        <v>176</v>
      </c>
      <c r="E240" s="55" t="s">
        <v>209</v>
      </c>
      <c r="F240" s="56" t="s">
        <v>114</v>
      </c>
      <c r="G240" s="61" t="s">
        <v>196</v>
      </c>
    </row>
    <row r="241" spans="2:7">
      <c r="B241" s="49" t="s">
        <v>338</v>
      </c>
      <c r="C241" s="39">
        <v>1212165</v>
      </c>
      <c r="D241" s="44">
        <v>0.05</v>
      </c>
      <c r="E241" s="46">
        <f>C241*D241</f>
        <v>60608.25</v>
      </c>
      <c r="F241" s="57">
        <f>E241/$C$386</f>
        <v>9.3091749198702032E-4</v>
      </c>
      <c r="G241" t="s">
        <v>307</v>
      </c>
    </row>
    <row r="242" spans="2:7">
      <c r="B242" s="50" t="s">
        <v>339</v>
      </c>
      <c r="C242" s="38">
        <v>565309</v>
      </c>
      <c r="D242" s="38"/>
      <c r="E242" s="47"/>
      <c r="F242" s="58"/>
    </row>
    <row r="243" spans="2:7">
      <c r="B243" s="49" t="s">
        <v>340</v>
      </c>
      <c r="C243" s="39">
        <v>51879</v>
      </c>
      <c r="D243" s="44">
        <v>0.05</v>
      </c>
      <c r="E243" s="46">
        <f>C243*D243</f>
        <v>2593.9500000000003</v>
      </c>
      <c r="F243" s="57">
        <f>E243/$C$386</f>
        <v>3.9841992275634618E-5</v>
      </c>
      <c r="G243" t="s">
        <v>307</v>
      </c>
    </row>
    <row r="244" spans="2:7">
      <c r="B244" s="49" t="s">
        <v>341</v>
      </c>
      <c r="C244" s="39">
        <v>27795</v>
      </c>
      <c r="D244" s="44">
        <v>0.05</v>
      </c>
      <c r="E244" s="46">
        <f>C244*D244</f>
        <v>1389.75</v>
      </c>
      <c r="F244" s="57">
        <f>E244/$C$386</f>
        <v>2.1345981520485439E-5</v>
      </c>
      <c r="G244" t="s">
        <v>307</v>
      </c>
    </row>
    <row r="245" spans="2:7">
      <c r="B245" s="49" t="s">
        <v>342</v>
      </c>
      <c r="C245" s="39">
        <v>41330</v>
      </c>
      <c r="D245" s="44">
        <v>0.05</v>
      </c>
      <c r="E245" s="46">
        <f>C245*D245</f>
        <v>2066.5</v>
      </c>
      <c r="F245" s="57">
        <f>E245/$C$386</f>
        <v>3.1740579825208244E-5</v>
      </c>
      <c r="G245" t="s">
        <v>307</v>
      </c>
    </row>
    <row r="246" spans="2:7">
      <c r="B246" s="50" t="s">
        <v>343</v>
      </c>
      <c r="C246" s="38">
        <v>184928</v>
      </c>
      <c r="D246" s="38"/>
      <c r="E246" s="47"/>
      <c r="F246" s="58"/>
    </row>
    <row r="247" spans="2:7">
      <c r="B247" s="50" t="s">
        <v>344</v>
      </c>
      <c r="C247" s="38">
        <v>43922</v>
      </c>
      <c r="D247" s="38"/>
      <c r="E247" s="47"/>
      <c r="F247" s="58"/>
    </row>
    <row r="248" spans="2:7">
      <c r="B248" s="50" t="s">
        <v>345</v>
      </c>
      <c r="C248" s="38">
        <v>23614</v>
      </c>
      <c r="D248" s="38"/>
      <c r="E248" s="47"/>
      <c r="F248" s="58"/>
    </row>
    <row r="249" spans="2:7">
      <c r="B249" s="50" t="s">
        <v>346</v>
      </c>
      <c r="C249" s="38">
        <v>43702</v>
      </c>
      <c r="D249" s="38"/>
      <c r="E249" s="47"/>
      <c r="F249" s="58"/>
    </row>
    <row r="250" spans="2:7">
      <c r="B250" s="49" t="s">
        <v>347</v>
      </c>
      <c r="C250" s="39">
        <v>140382</v>
      </c>
      <c r="D250" s="44">
        <v>0.05</v>
      </c>
      <c r="E250" s="46">
        <f>C250*D250</f>
        <v>7019.1</v>
      </c>
      <c r="F250" s="57">
        <f>E250/$C$386</f>
        <v>1.0781045431943827E-4</v>
      </c>
      <c r="G250" t="s">
        <v>307</v>
      </c>
    </row>
    <row r="251" spans="2:7">
      <c r="B251" s="50" t="s">
        <v>348</v>
      </c>
      <c r="C251" s="38">
        <v>148214</v>
      </c>
      <c r="D251" s="38"/>
      <c r="E251" s="47"/>
      <c r="F251" s="58"/>
    </row>
    <row r="252" spans="2:7">
      <c r="B252" s="49" t="s">
        <v>349</v>
      </c>
      <c r="C252" s="39">
        <v>124003</v>
      </c>
      <c r="D252" s="44">
        <v>0.05</v>
      </c>
      <c r="E252" s="46">
        <f>C252*D252</f>
        <v>6200.1500000000005</v>
      </c>
      <c r="F252" s="57">
        <f>E252/$C$386</f>
        <v>9.5231723205064069E-5</v>
      </c>
      <c r="G252" t="s">
        <v>307</v>
      </c>
    </row>
    <row r="253" spans="2:7">
      <c r="B253" s="50" t="s">
        <v>350</v>
      </c>
      <c r="C253" s="38">
        <v>142284</v>
      </c>
      <c r="D253" s="38"/>
      <c r="E253" s="47"/>
      <c r="F253" s="58"/>
    </row>
    <row r="254" spans="2:7">
      <c r="B254" s="50" t="s">
        <v>351</v>
      </c>
      <c r="C254" s="38">
        <v>325793</v>
      </c>
      <c r="D254" s="38"/>
      <c r="E254" s="47"/>
      <c r="F254" s="58"/>
    </row>
    <row r="255" spans="2:7">
      <c r="B255" s="50" t="s">
        <v>352</v>
      </c>
      <c r="C255" s="38">
        <v>355382</v>
      </c>
      <c r="D255" s="38"/>
      <c r="E255" s="47"/>
      <c r="F255" s="58"/>
    </row>
    <row r="256" spans="2:7">
      <c r="B256" s="50" t="s">
        <v>353</v>
      </c>
      <c r="C256" s="38">
        <v>425660</v>
      </c>
      <c r="D256" s="38"/>
      <c r="E256" s="47"/>
      <c r="F256" s="58"/>
    </row>
    <row r="257" spans="2:7">
      <c r="B257" s="50" t="s">
        <v>354</v>
      </c>
      <c r="C257" s="38">
        <v>2032029</v>
      </c>
      <c r="D257" s="38"/>
      <c r="E257" s="47"/>
      <c r="F257" s="58"/>
    </row>
    <row r="258" spans="2:7">
      <c r="B258" s="50" t="s">
        <v>355</v>
      </c>
      <c r="C258" s="38">
        <v>120872</v>
      </c>
      <c r="D258" s="38"/>
      <c r="E258" s="47"/>
      <c r="F258" s="58"/>
    </row>
    <row r="259" spans="2:7">
      <c r="B259" s="50" t="s">
        <v>356</v>
      </c>
      <c r="C259" s="38">
        <v>711332</v>
      </c>
      <c r="D259" s="38"/>
      <c r="E259" s="47"/>
      <c r="F259" s="58"/>
    </row>
    <row r="260" spans="2:7">
      <c r="B260" s="50" t="s">
        <v>357</v>
      </c>
      <c r="C260" s="38">
        <v>2575</v>
      </c>
      <c r="D260" s="38"/>
      <c r="E260" s="47"/>
      <c r="F260" s="58"/>
    </row>
    <row r="261" spans="2:7">
      <c r="B261" s="49" t="s">
        <v>358</v>
      </c>
      <c r="C261" s="39">
        <v>100462</v>
      </c>
      <c r="D261" s="44">
        <v>0.05</v>
      </c>
      <c r="E261" s="46">
        <f>C261*D261</f>
        <v>5023.1000000000004</v>
      </c>
      <c r="F261" s="57">
        <f>E261/$C$386</f>
        <v>7.7152725148804037E-5</v>
      </c>
      <c r="G261" t="s">
        <v>307</v>
      </c>
    </row>
    <row r="262" spans="2:7">
      <c r="B262" s="50" t="s">
        <v>359</v>
      </c>
      <c r="C262" s="38">
        <v>158227</v>
      </c>
      <c r="D262" s="38"/>
      <c r="E262" s="47"/>
      <c r="F262" s="58"/>
    </row>
    <row r="263" spans="2:7">
      <c r="B263" s="49" t="s">
        <v>360</v>
      </c>
      <c r="C263" s="39">
        <v>723068</v>
      </c>
      <c r="D263" s="44">
        <v>0.05</v>
      </c>
      <c r="E263" s="46">
        <f>C263*D263</f>
        <v>36153.4</v>
      </c>
      <c r="F263" s="57">
        <f>E263/$C$386</f>
        <v>5.5530117524930261E-4</v>
      </c>
      <c r="G263" t="s">
        <v>307</v>
      </c>
    </row>
    <row r="264" spans="2:7">
      <c r="B264" s="50" t="s">
        <v>361</v>
      </c>
      <c r="C264" s="38">
        <v>212400</v>
      </c>
      <c r="D264" s="38"/>
      <c r="E264" s="47"/>
      <c r="F264" s="58"/>
    </row>
    <row r="265" spans="2:7">
      <c r="B265" s="50" t="s">
        <v>362</v>
      </c>
      <c r="C265" s="38">
        <v>333138</v>
      </c>
      <c r="D265" s="38"/>
      <c r="E265" s="47"/>
      <c r="F265" s="58"/>
    </row>
    <row r="266" spans="2:7">
      <c r="B266" s="50" t="s">
        <v>363</v>
      </c>
      <c r="C266" s="38">
        <v>29201</v>
      </c>
      <c r="D266" s="38"/>
      <c r="E266" s="47"/>
      <c r="F266" s="58"/>
    </row>
    <row r="267" spans="2:7">
      <c r="B267" s="50" t="s">
        <v>364</v>
      </c>
      <c r="C267" s="38">
        <v>150523</v>
      </c>
      <c r="D267" s="38"/>
      <c r="E267" s="47"/>
      <c r="F267" s="58"/>
    </row>
    <row r="268" spans="2:7">
      <c r="B268" s="50" t="s">
        <v>365</v>
      </c>
      <c r="C268" s="38">
        <v>1547946</v>
      </c>
      <c r="D268" s="38"/>
      <c r="E268" s="47"/>
      <c r="F268" s="58"/>
    </row>
    <row r="269" spans="2:7">
      <c r="B269" s="49" t="s">
        <v>366</v>
      </c>
      <c r="C269" s="39">
        <v>178545</v>
      </c>
      <c r="D269" s="44">
        <v>0.05</v>
      </c>
      <c r="E269" s="46">
        <f>C269*D269</f>
        <v>8927.25</v>
      </c>
      <c r="F269" s="57">
        <f>E269/$C$386</f>
        <v>1.3711884405738704E-4</v>
      </c>
      <c r="G269" t="s">
        <v>307</v>
      </c>
    </row>
    <row r="270" spans="2:7">
      <c r="B270" s="50" t="s">
        <v>367</v>
      </c>
      <c r="C270" s="38">
        <v>79806</v>
      </c>
      <c r="D270" s="38"/>
      <c r="E270" s="47"/>
      <c r="F270" s="58"/>
    </row>
    <row r="271" spans="2:7">
      <c r="B271" s="50" t="s">
        <v>368</v>
      </c>
      <c r="C271" s="38">
        <v>142269</v>
      </c>
      <c r="D271" s="38"/>
      <c r="E271" s="47"/>
      <c r="F271" s="58"/>
    </row>
    <row r="272" spans="2:7">
      <c r="B272" s="50" t="s">
        <v>369</v>
      </c>
      <c r="C272" s="38">
        <v>27313</v>
      </c>
      <c r="D272" s="38"/>
      <c r="E272" s="47"/>
      <c r="F272" s="58"/>
    </row>
    <row r="273" spans="2:7">
      <c r="B273" s="50" t="s">
        <v>370</v>
      </c>
      <c r="C273" s="38">
        <v>401215</v>
      </c>
      <c r="D273" s="38"/>
      <c r="E273" s="47"/>
      <c r="F273" s="58"/>
    </row>
    <row r="274" spans="2:7">
      <c r="B274" s="50" t="s">
        <v>371</v>
      </c>
      <c r="C274" s="38">
        <v>8729</v>
      </c>
      <c r="D274" s="38"/>
      <c r="E274" s="47"/>
      <c r="F274" s="58"/>
    </row>
    <row r="275" spans="2:7">
      <c r="B275" s="50" t="s">
        <v>372</v>
      </c>
      <c r="C275" s="38">
        <v>255928</v>
      </c>
      <c r="D275" s="38"/>
      <c r="E275" s="47"/>
      <c r="F275" s="58"/>
    </row>
    <row r="276" spans="2:7">
      <c r="B276" s="50" t="s">
        <v>373</v>
      </c>
      <c r="C276" s="38">
        <v>56760</v>
      </c>
      <c r="D276" s="38"/>
      <c r="E276" s="47"/>
      <c r="F276" s="58"/>
    </row>
    <row r="277" spans="2:7">
      <c r="B277" s="50" t="s">
        <v>374</v>
      </c>
      <c r="C277" s="38">
        <v>387367</v>
      </c>
      <c r="D277" s="43"/>
      <c r="E277" s="47"/>
      <c r="F277" s="58"/>
    </row>
    <row r="278" spans="2:7">
      <c r="B278" s="50" t="s">
        <v>375</v>
      </c>
      <c r="C278" s="38">
        <v>127758</v>
      </c>
      <c r="D278" s="38"/>
      <c r="E278" s="47"/>
      <c r="F278" s="58"/>
    </row>
    <row r="279" spans="2:7">
      <c r="B279" s="50" t="s">
        <v>376</v>
      </c>
      <c r="C279" s="38">
        <v>27025</v>
      </c>
      <c r="D279" s="43"/>
      <c r="E279" s="47"/>
      <c r="F279" s="58"/>
    </row>
    <row r="280" spans="2:7">
      <c r="B280" s="50" t="s">
        <v>377</v>
      </c>
      <c r="C280" s="38">
        <v>1693727</v>
      </c>
      <c r="D280" s="38"/>
      <c r="E280" s="47"/>
      <c r="F280" s="58"/>
    </row>
    <row r="281" spans="2:7">
      <c r="B281" s="50" t="s">
        <v>378</v>
      </c>
      <c r="C281" s="38">
        <v>228637</v>
      </c>
      <c r="D281" s="38"/>
      <c r="E281" s="47"/>
      <c r="F281" s="58"/>
    </row>
    <row r="282" spans="2:7">
      <c r="B282" s="49" t="s">
        <v>379</v>
      </c>
      <c r="C282" s="39">
        <v>8824</v>
      </c>
      <c r="D282" s="44">
        <v>0.05</v>
      </c>
      <c r="E282" s="46">
        <f>C282*D282</f>
        <v>441.20000000000005</v>
      </c>
      <c r="F282" s="57">
        <f>E282/$C$386</f>
        <v>6.7766483517454045E-6</v>
      </c>
      <c r="G282" t="s">
        <v>307</v>
      </c>
    </row>
    <row r="283" spans="2:7">
      <c r="B283" s="50" t="s">
        <v>380</v>
      </c>
      <c r="C283" s="38">
        <v>453156</v>
      </c>
      <c r="D283" s="38"/>
      <c r="E283" s="47"/>
      <c r="F283" s="58"/>
    </row>
    <row r="284" spans="2:7">
      <c r="B284" s="50" t="s">
        <v>381</v>
      </c>
      <c r="C284" s="38">
        <v>108389</v>
      </c>
      <c r="D284" s="38"/>
      <c r="E284" s="47"/>
      <c r="F284" s="58"/>
    </row>
    <row r="285" spans="2:7">
      <c r="B285" s="50" t="s">
        <v>382</v>
      </c>
      <c r="C285" s="38">
        <v>337947</v>
      </c>
      <c r="D285" s="38"/>
      <c r="E285" s="47"/>
      <c r="F285" s="58"/>
    </row>
    <row r="286" spans="2:7">
      <c r="B286" s="50" t="s">
        <v>383</v>
      </c>
      <c r="C286" s="38">
        <v>41188</v>
      </c>
      <c r="D286" s="38"/>
      <c r="E286" s="47"/>
      <c r="F286" s="58"/>
    </row>
    <row r="287" spans="2:7">
      <c r="B287" s="50" t="s">
        <v>384</v>
      </c>
      <c r="C287" s="38">
        <v>310344</v>
      </c>
      <c r="D287" s="38"/>
      <c r="E287" s="47"/>
      <c r="F287" s="58"/>
    </row>
    <row r="288" spans="2:7">
      <c r="B288" s="50" t="s">
        <v>385</v>
      </c>
      <c r="C288" s="38">
        <v>88360</v>
      </c>
      <c r="D288" s="38"/>
      <c r="E288" s="47"/>
      <c r="F288" s="58"/>
    </row>
    <row r="289" spans="2:7">
      <c r="B289" s="50" t="s">
        <v>386</v>
      </c>
      <c r="C289" s="38">
        <v>221794</v>
      </c>
      <c r="D289" s="38"/>
      <c r="E289" s="47"/>
      <c r="F289" s="58"/>
    </row>
    <row r="290" spans="2:7">
      <c r="B290" s="50" t="s">
        <v>387</v>
      </c>
      <c r="C290" s="38">
        <v>134918</v>
      </c>
      <c r="D290" s="38"/>
      <c r="E290" s="47"/>
      <c r="F290" s="58"/>
    </row>
    <row r="291" spans="2:7">
      <c r="B291" s="50" t="s">
        <v>388</v>
      </c>
      <c r="C291" s="38">
        <v>63142</v>
      </c>
      <c r="D291" s="38"/>
      <c r="E291" s="47"/>
      <c r="F291" s="58"/>
    </row>
    <row r="292" spans="2:7">
      <c r="B292" s="50" t="s">
        <v>389</v>
      </c>
      <c r="C292" s="38">
        <v>173258</v>
      </c>
      <c r="D292" s="38"/>
      <c r="E292" s="47"/>
      <c r="F292" s="58"/>
    </row>
    <row r="293" spans="2:7">
      <c r="B293" s="50" t="s">
        <v>390</v>
      </c>
      <c r="C293" s="38">
        <v>271559</v>
      </c>
      <c r="D293" s="38"/>
      <c r="E293" s="47"/>
      <c r="F293" s="58"/>
    </row>
    <row r="294" spans="2:7">
      <c r="B294" s="50" t="s">
        <v>391</v>
      </c>
      <c r="C294" s="38">
        <v>170939</v>
      </c>
      <c r="D294" s="38"/>
      <c r="E294" s="47"/>
      <c r="F294" s="58"/>
    </row>
    <row r="295" spans="2:7">
      <c r="B295" s="50" t="s">
        <v>392</v>
      </c>
      <c r="C295" s="38">
        <v>69575</v>
      </c>
      <c r="D295" s="38"/>
      <c r="E295" s="47"/>
      <c r="F295" s="58"/>
    </row>
    <row r="296" spans="2:7">
      <c r="B296" s="50" t="s">
        <v>393</v>
      </c>
      <c r="C296" s="38">
        <v>57430</v>
      </c>
      <c r="D296" s="38"/>
      <c r="E296" s="47"/>
      <c r="F296" s="58"/>
    </row>
    <row r="297" spans="2:7">
      <c r="B297" s="50" t="s">
        <v>394</v>
      </c>
      <c r="C297" s="38">
        <v>406688</v>
      </c>
      <c r="D297" s="38"/>
      <c r="E297" s="47"/>
      <c r="F297" s="58"/>
    </row>
    <row r="298" spans="2:7">
      <c r="B298" s="50" t="s">
        <v>395</v>
      </c>
      <c r="C298" s="38">
        <v>6216</v>
      </c>
      <c r="D298" s="38"/>
      <c r="E298" s="47"/>
      <c r="F298" s="58"/>
    </row>
    <row r="299" spans="2:7">
      <c r="B299" s="50" t="s">
        <v>396</v>
      </c>
      <c r="C299" s="38">
        <v>3399</v>
      </c>
      <c r="D299" s="38"/>
      <c r="E299" s="47"/>
      <c r="F299" s="58"/>
    </row>
    <row r="300" spans="2:7">
      <c r="B300" s="50" t="s">
        <v>397</v>
      </c>
      <c r="C300" s="38">
        <v>34248</v>
      </c>
      <c r="D300" s="38"/>
      <c r="E300" s="47"/>
      <c r="F300" s="58"/>
    </row>
    <row r="301" spans="2:7">
      <c r="B301" s="50" t="s">
        <v>398</v>
      </c>
      <c r="C301" s="38">
        <v>185088</v>
      </c>
      <c r="D301" s="38"/>
      <c r="E301" s="47"/>
      <c r="F301" s="58"/>
    </row>
    <row r="302" spans="2:7">
      <c r="B302" s="49" t="s">
        <v>399</v>
      </c>
      <c r="C302" s="39">
        <v>131529</v>
      </c>
      <c r="D302" s="44">
        <v>0.05</v>
      </c>
      <c r="E302" s="46">
        <f>C302*D302</f>
        <v>6576.4500000000007</v>
      </c>
      <c r="F302" s="57">
        <f>E302/$C$386</f>
        <v>1.0101153457125129E-4</v>
      </c>
      <c r="G302" t="s">
        <v>307</v>
      </c>
    </row>
    <row r="303" spans="2:7">
      <c r="B303" s="49" t="s">
        <v>400</v>
      </c>
      <c r="C303" s="39">
        <v>732379</v>
      </c>
      <c r="D303" s="44">
        <f>AVERAGE(79.01%,3.98%)</f>
        <v>0.41495000000000004</v>
      </c>
      <c r="E303" s="46">
        <f>C303*D303</f>
        <v>303900.66605000006</v>
      </c>
      <c r="F303" s="57">
        <f>E303/$C$386</f>
        <v>4.6677877327335974E-3</v>
      </c>
      <c r="G303" s="209" t="s">
        <v>401</v>
      </c>
    </row>
    <row r="304" spans="2:7">
      <c r="B304" s="50" t="s">
        <v>402</v>
      </c>
      <c r="C304" s="38">
        <v>38203</v>
      </c>
      <c r="D304" s="38"/>
      <c r="E304" s="47"/>
      <c r="F304" s="58"/>
    </row>
    <row r="305" spans="2:6">
      <c r="B305" s="50" t="s">
        <v>403</v>
      </c>
      <c r="C305" s="38">
        <v>59714</v>
      </c>
      <c r="D305" s="38"/>
      <c r="E305" s="47"/>
      <c r="F305" s="58"/>
    </row>
    <row r="306" spans="2:6">
      <c r="B306" s="50" t="s">
        <v>404</v>
      </c>
      <c r="C306" s="38">
        <v>58575</v>
      </c>
      <c r="D306" s="38"/>
      <c r="E306" s="47"/>
      <c r="F306" s="58"/>
    </row>
    <row r="307" spans="2:6">
      <c r="B307" s="50" t="s">
        <v>405</v>
      </c>
      <c r="C307" s="38">
        <v>436607</v>
      </c>
      <c r="D307" s="38"/>
      <c r="E307" s="47"/>
      <c r="F307" s="58"/>
    </row>
    <row r="308" spans="2:6">
      <c r="B308" s="50" t="s">
        <v>406</v>
      </c>
      <c r="C308" s="38">
        <v>401727</v>
      </c>
      <c r="D308" s="38"/>
      <c r="E308" s="47"/>
      <c r="F308" s="58"/>
    </row>
    <row r="309" spans="2:6">
      <c r="B309" s="50" t="s">
        <v>407</v>
      </c>
      <c r="C309" s="38">
        <v>9063</v>
      </c>
      <c r="D309" s="38"/>
      <c r="E309" s="47"/>
      <c r="F309" s="58"/>
    </row>
    <row r="310" spans="2:6">
      <c r="B310" s="50" t="s">
        <v>408</v>
      </c>
      <c r="C310" s="38">
        <v>1558376</v>
      </c>
      <c r="D310" s="38"/>
      <c r="E310" s="47"/>
      <c r="F310" s="58"/>
    </row>
    <row r="311" spans="2:6">
      <c r="B311" s="50" t="s">
        <v>409</v>
      </c>
      <c r="C311" s="38">
        <v>97626</v>
      </c>
      <c r="D311" s="38"/>
      <c r="E311" s="47"/>
      <c r="F311" s="58"/>
    </row>
    <row r="312" spans="2:6">
      <c r="B312" s="50" t="s">
        <v>410</v>
      </c>
      <c r="C312" s="38">
        <v>3371</v>
      </c>
      <c r="D312" s="38"/>
      <c r="E312" s="47"/>
      <c r="F312" s="58"/>
    </row>
    <row r="313" spans="2:6">
      <c r="B313" s="50" t="s">
        <v>411</v>
      </c>
      <c r="C313" s="38">
        <v>242264</v>
      </c>
      <c r="D313" s="38"/>
      <c r="E313" s="47"/>
      <c r="F313" s="58"/>
    </row>
    <row r="314" spans="2:6">
      <c r="B314" s="50" t="s">
        <v>412</v>
      </c>
      <c r="C314" s="38">
        <v>28174</v>
      </c>
      <c r="D314" s="38"/>
      <c r="E314" s="47"/>
      <c r="F314" s="58"/>
    </row>
    <row r="315" spans="2:6">
      <c r="B315" s="50" t="s">
        <v>413</v>
      </c>
      <c r="C315" s="38">
        <v>70783</v>
      </c>
      <c r="D315" s="38"/>
      <c r="E315" s="47"/>
      <c r="F315" s="58"/>
    </row>
    <row r="316" spans="2:6">
      <c r="B316" s="50" t="s">
        <v>414</v>
      </c>
      <c r="C316" s="38">
        <v>63917</v>
      </c>
      <c r="D316" s="38"/>
      <c r="E316" s="47"/>
      <c r="F316" s="58"/>
    </row>
    <row r="317" spans="2:6">
      <c r="B317" s="50" t="s">
        <v>415</v>
      </c>
      <c r="C317" s="38">
        <v>1347987</v>
      </c>
      <c r="D317" s="38"/>
      <c r="E317" s="47"/>
      <c r="F317" s="58"/>
    </row>
    <row r="318" spans="2:6">
      <c r="B318" s="50" t="s">
        <v>416</v>
      </c>
      <c r="C318" s="38">
        <v>1369001</v>
      </c>
      <c r="D318" s="43"/>
      <c r="E318" s="47"/>
      <c r="F318" s="58"/>
    </row>
    <row r="319" spans="2:6">
      <c r="B319" s="50" t="s">
        <v>417</v>
      </c>
      <c r="C319" s="38">
        <v>79228</v>
      </c>
      <c r="D319" s="38"/>
      <c r="E319" s="47"/>
      <c r="F319" s="58"/>
    </row>
    <row r="320" spans="2:6">
      <c r="B320" s="50" t="s">
        <v>418</v>
      </c>
      <c r="C320" s="38">
        <v>901018</v>
      </c>
      <c r="D320" s="38"/>
      <c r="E320" s="47"/>
      <c r="F320" s="58"/>
    </row>
    <row r="321" spans="2:6">
      <c r="B321" s="50" t="s">
        <v>419</v>
      </c>
      <c r="C321" s="38">
        <v>2210520</v>
      </c>
      <c r="D321" s="38"/>
      <c r="E321" s="47"/>
      <c r="F321" s="58"/>
    </row>
    <row r="322" spans="2:6">
      <c r="B322" s="50" t="s">
        <v>420</v>
      </c>
      <c r="C322" s="38">
        <v>340382</v>
      </c>
      <c r="D322" s="38"/>
      <c r="E322" s="47"/>
      <c r="F322" s="58"/>
    </row>
    <row r="323" spans="2:6">
      <c r="B323" s="50" t="s">
        <v>421</v>
      </c>
      <c r="C323" s="38">
        <v>854769</v>
      </c>
      <c r="D323" s="38"/>
      <c r="E323" s="47"/>
      <c r="F323" s="58"/>
    </row>
    <row r="324" spans="2:6">
      <c r="B324" s="50" t="s">
        <v>422</v>
      </c>
      <c r="C324" s="38">
        <v>42985</v>
      </c>
      <c r="D324" s="38"/>
      <c r="E324" s="47"/>
      <c r="F324" s="58"/>
    </row>
    <row r="325" spans="2:6">
      <c r="B325" s="50" t="s">
        <v>423</v>
      </c>
      <c r="C325" s="38">
        <v>109893</v>
      </c>
      <c r="D325" s="38"/>
      <c r="E325" s="47"/>
      <c r="F325" s="58"/>
    </row>
    <row r="326" spans="2:6">
      <c r="B326" s="50" t="s">
        <v>424</v>
      </c>
      <c r="C326" s="38">
        <v>1478194</v>
      </c>
      <c r="D326" s="38"/>
      <c r="E326" s="47"/>
      <c r="F326" s="58"/>
    </row>
    <row r="327" spans="2:6">
      <c r="B327" s="50" t="s">
        <v>425</v>
      </c>
      <c r="C327" s="38">
        <v>164512</v>
      </c>
      <c r="D327" s="38"/>
      <c r="E327" s="47"/>
      <c r="F327" s="58"/>
    </row>
    <row r="328" spans="2:6">
      <c r="B328" s="50" t="s">
        <v>426</v>
      </c>
      <c r="C328" s="38">
        <v>1669364</v>
      </c>
      <c r="D328" s="38"/>
      <c r="E328" s="47"/>
      <c r="F328" s="58"/>
    </row>
    <row r="329" spans="2:6">
      <c r="B329" s="50" t="s">
        <v>427</v>
      </c>
      <c r="C329" s="38">
        <v>526867</v>
      </c>
      <c r="D329" s="38"/>
      <c r="E329" s="47"/>
      <c r="F329" s="58"/>
    </row>
    <row r="330" spans="2:6">
      <c r="B330" s="50" t="s">
        <v>428</v>
      </c>
      <c r="C330" s="38">
        <v>159488</v>
      </c>
      <c r="D330" s="38"/>
      <c r="E330" s="47"/>
      <c r="F330" s="58"/>
    </row>
    <row r="331" spans="2:6">
      <c r="B331" s="50" t="s">
        <v>429</v>
      </c>
      <c r="C331" s="38">
        <v>61997</v>
      </c>
      <c r="D331" s="38"/>
      <c r="E331" s="47"/>
      <c r="F331" s="58"/>
    </row>
    <row r="332" spans="2:6">
      <c r="B332" s="50" t="s">
        <v>430</v>
      </c>
      <c r="C332" s="38">
        <v>284358</v>
      </c>
      <c r="D332" s="38"/>
      <c r="E332" s="47"/>
      <c r="F332" s="58"/>
    </row>
    <row r="333" spans="2:6">
      <c r="B333" s="50" t="s">
        <v>431</v>
      </c>
      <c r="C333" s="38">
        <v>91449</v>
      </c>
      <c r="D333" s="38"/>
      <c r="E333" s="47"/>
      <c r="F333" s="58"/>
    </row>
    <row r="334" spans="2:6">
      <c r="B334" s="50" t="s">
        <v>432</v>
      </c>
      <c r="C334" s="38">
        <v>8752</v>
      </c>
      <c r="D334" s="38"/>
      <c r="E334" s="47"/>
      <c r="F334" s="58"/>
    </row>
    <row r="335" spans="2:6">
      <c r="B335" s="50" t="s">
        <v>433</v>
      </c>
      <c r="C335" s="38">
        <v>328945</v>
      </c>
      <c r="D335" s="38"/>
      <c r="E335" s="47"/>
      <c r="F335" s="58"/>
    </row>
    <row r="336" spans="2:6">
      <c r="B336" s="50" t="s">
        <v>434</v>
      </c>
      <c r="C336" s="38">
        <v>378850</v>
      </c>
      <c r="D336" s="38"/>
      <c r="E336" s="47"/>
      <c r="F336" s="58"/>
    </row>
    <row r="337" spans="2:7">
      <c r="B337" s="50" t="s">
        <v>435</v>
      </c>
      <c r="C337" s="38">
        <v>173875</v>
      </c>
      <c r="D337" s="38"/>
      <c r="E337" s="47"/>
      <c r="F337" s="58"/>
    </row>
    <row r="338" spans="2:7">
      <c r="B338" s="50" t="s">
        <v>436</v>
      </c>
      <c r="C338" s="38">
        <v>14550</v>
      </c>
      <c r="D338" s="38"/>
      <c r="E338" s="47"/>
      <c r="F338" s="58"/>
    </row>
    <row r="339" spans="2:7">
      <c r="B339" s="50" t="s">
        <v>437</v>
      </c>
      <c r="C339" s="38">
        <v>128411</v>
      </c>
      <c r="D339" s="38"/>
      <c r="E339" s="47"/>
      <c r="F339" s="58"/>
    </row>
    <row r="340" spans="2:7">
      <c r="B340" s="50" t="s">
        <v>438</v>
      </c>
      <c r="C340" s="38">
        <v>88837</v>
      </c>
      <c r="D340" s="38"/>
      <c r="E340" s="47"/>
      <c r="F340" s="58"/>
    </row>
    <row r="341" spans="2:7">
      <c r="B341" s="50" t="s">
        <v>439</v>
      </c>
      <c r="C341" s="38">
        <v>181204</v>
      </c>
      <c r="D341" s="38"/>
      <c r="E341" s="47"/>
      <c r="F341" s="58"/>
    </row>
    <row r="342" spans="2:7">
      <c r="B342" s="50" t="s">
        <v>440</v>
      </c>
      <c r="C342" s="38">
        <v>218659</v>
      </c>
      <c r="D342" s="38"/>
      <c r="E342" s="47"/>
      <c r="F342" s="58"/>
    </row>
    <row r="343" spans="2:7">
      <c r="B343" s="50" t="s">
        <v>441</v>
      </c>
      <c r="C343" s="38">
        <v>1806669</v>
      </c>
      <c r="D343" s="38"/>
      <c r="E343" s="47"/>
      <c r="F343" s="58"/>
    </row>
    <row r="344" spans="2:7">
      <c r="B344" s="50" t="s">
        <v>442</v>
      </c>
      <c r="C344" s="38">
        <v>206653</v>
      </c>
      <c r="D344" s="38"/>
      <c r="E344" s="47"/>
      <c r="F344" s="58"/>
    </row>
    <row r="345" spans="2:7">
      <c r="B345" s="50" t="s">
        <v>443</v>
      </c>
      <c r="C345" s="38">
        <v>105133</v>
      </c>
      <c r="D345" s="38"/>
      <c r="E345" s="47"/>
      <c r="F345" s="58"/>
    </row>
    <row r="346" spans="2:7">
      <c r="B346" s="50" t="s">
        <v>444</v>
      </c>
      <c r="C346" s="38">
        <v>67580</v>
      </c>
      <c r="D346" s="38"/>
      <c r="E346" s="47"/>
      <c r="F346" s="58"/>
    </row>
    <row r="347" spans="2:7">
      <c r="B347" s="50" t="s">
        <v>445</v>
      </c>
      <c r="C347" s="38">
        <v>133812</v>
      </c>
      <c r="D347" s="38"/>
      <c r="E347" s="47"/>
      <c r="F347" s="58"/>
    </row>
    <row r="348" spans="2:7">
      <c r="B348" s="50" t="s">
        <v>446</v>
      </c>
      <c r="C348" s="38">
        <v>477449</v>
      </c>
      <c r="D348" s="38"/>
      <c r="E348" s="47"/>
      <c r="F348" s="58"/>
    </row>
    <row r="349" spans="2:7">
      <c r="B349" s="50" t="s">
        <v>447</v>
      </c>
      <c r="C349" s="38">
        <v>89874</v>
      </c>
      <c r="D349" s="38"/>
      <c r="E349" s="47"/>
      <c r="F349" s="58"/>
    </row>
    <row r="350" spans="2:7">
      <c r="B350" s="49" t="s">
        <v>448</v>
      </c>
      <c r="C350" s="39">
        <v>3614166</v>
      </c>
      <c r="D350" s="44">
        <v>1</v>
      </c>
      <c r="E350" s="46">
        <f>C350*D350</f>
        <v>3614166</v>
      </c>
      <c r="F350" s="57">
        <f>E350/$C$386</f>
        <v>5.5512085373604442E-2</v>
      </c>
      <c r="G350" t="s">
        <v>254</v>
      </c>
    </row>
    <row r="351" spans="2:7">
      <c r="B351" s="50" t="s">
        <v>449</v>
      </c>
      <c r="C351" s="38">
        <v>541446</v>
      </c>
      <c r="D351" s="38"/>
      <c r="E351" s="47"/>
      <c r="F351" s="58"/>
    </row>
    <row r="352" spans="2:7">
      <c r="B352" s="50" t="s">
        <v>450</v>
      </c>
      <c r="C352" s="38">
        <v>192192</v>
      </c>
      <c r="D352" s="38"/>
      <c r="E352" s="47"/>
      <c r="F352" s="58"/>
    </row>
    <row r="353" spans="2:7">
      <c r="B353" s="50" t="s">
        <v>451</v>
      </c>
      <c r="C353" s="38">
        <v>168659</v>
      </c>
      <c r="D353" s="38"/>
      <c r="E353" s="47"/>
      <c r="F353" s="58"/>
    </row>
    <row r="354" spans="2:7">
      <c r="B354" s="50" t="s">
        <v>452</v>
      </c>
      <c r="C354" s="38">
        <v>422150</v>
      </c>
      <c r="D354" s="38"/>
      <c r="E354" s="47"/>
      <c r="F354" s="58"/>
    </row>
    <row r="355" spans="2:7">
      <c r="B355" s="50" t="s">
        <v>453</v>
      </c>
      <c r="C355" s="38">
        <v>86448</v>
      </c>
      <c r="D355" s="38"/>
      <c r="E355" s="47"/>
      <c r="F355" s="58"/>
    </row>
    <row r="356" spans="2:7">
      <c r="B356" s="50" t="s">
        <v>454</v>
      </c>
      <c r="C356" s="38">
        <v>728994</v>
      </c>
      <c r="D356" s="38"/>
      <c r="E356" s="47"/>
      <c r="F356" s="58"/>
    </row>
    <row r="357" spans="2:7">
      <c r="B357" s="50" t="s">
        <v>455</v>
      </c>
      <c r="C357" s="38">
        <v>343789</v>
      </c>
      <c r="D357" s="38"/>
      <c r="E357" s="47"/>
      <c r="F357" s="58"/>
    </row>
    <row r="358" spans="2:7">
      <c r="B358" s="50" t="s">
        <v>456</v>
      </c>
      <c r="C358" s="38">
        <v>154040</v>
      </c>
      <c r="D358" s="38"/>
      <c r="E358" s="47"/>
      <c r="F358" s="58"/>
    </row>
    <row r="359" spans="2:7">
      <c r="B359" s="49" t="s">
        <v>457</v>
      </c>
      <c r="C359" s="39">
        <v>136240</v>
      </c>
      <c r="D359" s="44">
        <v>0.67</v>
      </c>
      <c r="E359" s="46">
        <f>C359*D359</f>
        <v>91280.8</v>
      </c>
      <c r="F359" s="57">
        <f>E359/$C$386</f>
        <v>1.4020350926246643E-3</v>
      </c>
      <c r="G359" t="s">
        <v>458</v>
      </c>
    </row>
    <row r="360" spans="2:7">
      <c r="B360" s="50" t="s">
        <v>459</v>
      </c>
      <c r="C360" s="38">
        <v>184123</v>
      </c>
      <c r="D360" s="38"/>
      <c r="E360" s="47"/>
      <c r="F360" s="58"/>
    </row>
    <row r="361" spans="2:7">
      <c r="B361" s="50" t="s">
        <v>460</v>
      </c>
      <c r="C361" s="38">
        <v>1154</v>
      </c>
      <c r="D361" s="38"/>
      <c r="E361" s="47"/>
      <c r="F361" s="58"/>
    </row>
    <row r="362" spans="2:7">
      <c r="B362" s="50" t="s">
        <v>461</v>
      </c>
      <c r="C362" s="38">
        <v>136504</v>
      </c>
      <c r="D362" s="38"/>
      <c r="E362" s="47"/>
      <c r="F362" s="58"/>
    </row>
    <row r="363" spans="2:7">
      <c r="B363" s="50" t="s">
        <v>462</v>
      </c>
      <c r="C363" s="38">
        <v>179687</v>
      </c>
      <c r="D363" s="38"/>
      <c r="E363" s="47"/>
      <c r="F363" s="58"/>
    </row>
    <row r="364" spans="2:7">
      <c r="B364" s="50" t="s">
        <v>463</v>
      </c>
      <c r="C364" s="38">
        <v>14824</v>
      </c>
      <c r="D364" s="38"/>
      <c r="E364" s="47"/>
      <c r="F364" s="58"/>
    </row>
    <row r="365" spans="2:7">
      <c r="B365" s="50" t="s">
        <v>464</v>
      </c>
      <c r="C365" s="38">
        <v>118935</v>
      </c>
      <c r="D365" s="38"/>
      <c r="E365" s="47"/>
      <c r="F365" s="58"/>
    </row>
    <row r="366" spans="2:7">
      <c r="B366" s="50" t="s">
        <v>465</v>
      </c>
      <c r="C366" s="38">
        <v>886830</v>
      </c>
      <c r="D366" s="38"/>
      <c r="E366" s="47"/>
      <c r="F366" s="58"/>
    </row>
    <row r="367" spans="2:7">
      <c r="B367" s="50" t="s">
        <v>466</v>
      </c>
      <c r="C367" s="38">
        <v>17401151</v>
      </c>
      <c r="D367" s="38"/>
      <c r="E367" s="47"/>
      <c r="F367" s="58"/>
    </row>
    <row r="368" spans="2:7">
      <c r="B368" s="49" t="s">
        <v>467</v>
      </c>
      <c r="C368" s="39">
        <v>125326</v>
      </c>
      <c r="D368" s="44">
        <v>0.05</v>
      </c>
      <c r="E368" s="46">
        <f>C368*D368</f>
        <v>6266.3</v>
      </c>
      <c r="F368" s="57">
        <f>E368/$C$386</f>
        <v>9.6247759670313297E-5</v>
      </c>
      <c r="G368" t="s">
        <v>307</v>
      </c>
    </row>
    <row r="369" spans="2:6">
      <c r="B369" s="50" t="s">
        <v>468</v>
      </c>
      <c r="C369" s="38">
        <v>410065</v>
      </c>
      <c r="D369" s="38"/>
      <c r="E369" s="47"/>
      <c r="F369" s="58"/>
    </row>
    <row r="370" spans="2:6">
      <c r="B370" s="50" t="s">
        <v>469</v>
      </c>
      <c r="C370" s="38">
        <v>133095</v>
      </c>
      <c r="D370" s="38"/>
      <c r="E370" s="47"/>
      <c r="F370" s="58"/>
    </row>
    <row r="371" spans="2:6">
      <c r="B371" s="50" t="s">
        <v>470</v>
      </c>
      <c r="C371" s="38">
        <v>151745</v>
      </c>
      <c r="D371" s="38"/>
      <c r="E371" s="47"/>
      <c r="F371" s="58"/>
    </row>
    <row r="372" spans="2:6">
      <c r="B372" s="50" t="s">
        <v>471</v>
      </c>
      <c r="C372" s="38">
        <v>98183</v>
      </c>
      <c r="D372" s="38"/>
      <c r="E372" s="47"/>
      <c r="F372" s="58"/>
    </row>
    <row r="373" spans="2:6">
      <c r="B373" s="50" t="s">
        <v>472</v>
      </c>
      <c r="C373" s="38">
        <v>385052</v>
      </c>
      <c r="D373" s="38"/>
      <c r="E373" s="47"/>
      <c r="F373" s="58"/>
    </row>
    <row r="374" spans="2:6">
      <c r="B374" s="50" t="s">
        <v>473</v>
      </c>
      <c r="C374" s="38">
        <v>212180</v>
      </c>
      <c r="D374" s="38"/>
      <c r="E374" s="47"/>
      <c r="F374" s="58"/>
    </row>
    <row r="375" spans="2:6">
      <c r="B375" s="50" t="s">
        <v>474</v>
      </c>
      <c r="C375" s="38">
        <v>175812</v>
      </c>
      <c r="D375" s="38"/>
      <c r="E375" s="47"/>
      <c r="F375" s="58"/>
    </row>
    <row r="376" spans="2:6">
      <c r="B376" s="50" t="s">
        <v>475</v>
      </c>
      <c r="C376" s="38">
        <v>386776</v>
      </c>
      <c r="D376" s="38"/>
      <c r="E376" s="47"/>
      <c r="F376" s="58"/>
    </row>
    <row r="377" spans="2:6">
      <c r="B377" s="50" t="s">
        <v>476</v>
      </c>
      <c r="C377" s="38">
        <v>3591</v>
      </c>
      <c r="D377" s="38"/>
      <c r="E377" s="47"/>
      <c r="F377" s="58"/>
    </row>
    <row r="378" spans="2:6">
      <c r="B378" s="50" t="s">
        <v>477</v>
      </c>
      <c r="C378" s="38">
        <v>230990</v>
      </c>
      <c r="D378" s="38"/>
      <c r="E378" s="47"/>
      <c r="F378" s="58"/>
    </row>
    <row r="379" spans="2:6">
      <c r="B379" s="50" t="s">
        <v>478</v>
      </c>
      <c r="C379" s="38">
        <v>4065</v>
      </c>
      <c r="D379" s="38"/>
      <c r="E379" s="47"/>
      <c r="F379" s="58"/>
    </row>
    <row r="380" spans="2:6">
      <c r="B380" s="50" t="s">
        <v>479</v>
      </c>
      <c r="C380" s="38">
        <v>13595</v>
      </c>
      <c r="D380" s="38"/>
      <c r="E380" s="47"/>
      <c r="F380" s="58"/>
    </row>
    <row r="381" spans="2:6">
      <c r="B381" s="50" t="s">
        <v>480</v>
      </c>
      <c r="C381" s="38">
        <v>272391</v>
      </c>
      <c r="D381" s="38"/>
      <c r="E381" s="47"/>
      <c r="F381" s="58"/>
    </row>
    <row r="382" spans="2:6">
      <c r="B382" s="50" t="s">
        <v>481</v>
      </c>
      <c r="C382" s="38">
        <v>96165</v>
      </c>
      <c r="D382" s="38"/>
      <c r="E382" s="47"/>
      <c r="F382" s="58"/>
    </row>
    <row r="383" spans="2:6">
      <c r="B383" s="50" t="s">
        <v>482</v>
      </c>
      <c r="C383" s="38">
        <v>105844</v>
      </c>
      <c r="D383" s="38"/>
      <c r="E383" s="47"/>
      <c r="F383" s="58"/>
    </row>
    <row r="384" spans="2:6">
      <c r="B384" s="50" t="s">
        <v>483</v>
      </c>
      <c r="C384" s="38">
        <v>47398</v>
      </c>
      <c r="D384" s="38"/>
      <c r="E384" s="47"/>
      <c r="F384" s="58"/>
    </row>
    <row r="385" spans="2:8">
      <c r="B385" s="50" t="s">
        <v>484</v>
      </c>
      <c r="C385" s="38">
        <v>169077</v>
      </c>
      <c r="D385" s="38"/>
      <c r="E385" s="47"/>
      <c r="F385" s="58"/>
    </row>
    <row r="386" spans="2:8">
      <c r="B386" s="51" t="s">
        <v>485</v>
      </c>
      <c r="C386" s="53">
        <f>SUM(C241:C385)</f>
        <v>65105931</v>
      </c>
      <c r="D386" s="53"/>
      <c r="E386" s="60"/>
      <c r="F386" s="65">
        <f>SUM(F241:F385)</f>
        <v>6.3782405109144347E-2</v>
      </c>
    </row>
    <row r="389" spans="2:8">
      <c r="B389" s="37" t="s">
        <v>486</v>
      </c>
    </row>
    <row r="390" spans="2:8">
      <c r="C390" s="181" t="s">
        <v>114</v>
      </c>
      <c r="D390" s="61" t="s">
        <v>196</v>
      </c>
    </row>
    <row r="391" spans="2:8">
      <c r="B391" s="211" t="s">
        <v>137</v>
      </c>
      <c r="C391" s="210">
        <f>F386</f>
        <v>6.3782405109144347E-2</v>
      </c>
      <c r="D391" t="s">
        <v>487</v>
      </c>
      <c r="H391" t="s">
        <v>152</v>
      </c>
    </row>
  </sheetData>
  <sheetProtection algorithmName="SHA-512" hashValue="UdBAdKPE3CSmWzzSPCjJAUgvk0Z8rwAelMJsGOxcLNbyI6TqAKk1EGY5pgivusHSgqt1Mf9k5nQOtF0lQw90AQ==" saltValue="M//UaENXPt6EvCgjnoG+Ww==" spinCount="100000" sheet="1" objects="1" scenarios="1" selectLockedCells="1" selectUnlockedCells="1"/>
  <mergeCells count="4">
    <mergeCell ref="F9:G9"/>
    <mergeCell ref="F10:G10"/>
    <mergeCell ref="F11:G11"/>
    <mergeCell ref="F8:G8"/>
  </mergeCells>
  <hyperlinks>
    <hyperlink ref="D4" r:id="rId1" xr:uid="{F75523B4-0354-4D44-9B92-35BD399F533B}"/>
    <hyperlink ref="I10" r:id="rId2" location="Consommation_%C3%A9nerg%C3%A9tique_mondiale" xr:uid="{6E45924E-44A2-FB48-AC64-811E1D237ACA}"/>
    <hyperlink ref="I11" r:id="rId3" location="Consommation_%C3%A9nerg%C3%A9tique_mondiale" xr:uid="{2CC5FF15-FD76-474A-904F-24A04EBCC6B1}"/>
    <hyperlink ref="G35" r:id="rId4" xr:uid="{E7841377-C6F3-4DEC-8D8A-BE95AD43C811}"/>
    <hyperlink ref="M4" r:id="rId5" xr:uid="{9F63D0F9-E8B4-4DA5-A7ED-9BDF8BD0CCD2}"/>
  </hyperlinks>
  <pageMargins left="0.7" right="0.7" top="0.75" bottom="0.75" header="0.3" footer="0.3"/>
  <pageSetup paperSize="9"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94B6F-9097-7143-8DCC-393F9B87CCE3}">
  <dimension ref="A1:B7"/>
  <sheetViews>
    <sheetView showGridLines="0" workbookViewId="0">
      <selection activeCell="A4" sqref="A4"/>
    </sheetView>
  </sheetViews>
  <sheetFormatPr baseColWidth="10" defaultColWidth="11" defaultRowHeight="15.75"/>
  <cols>
    <col min="1" max="2" width="99.375" customWidth="1"/>
    <col min="4" max="4" width="14" bestFit="1" customWidth="1"/>
  </cols>
  <sheetData>
    <row r="1" spans="1:2" ht="36" customHeight="1">
      <c r="A1" s="424" t="s">
        <v>488</v>
      </c>
      <c r="B1" s="424" t="s">
        <v>489</v>
      </c>
    </row>
    <row r="2" spans="1:2" ht="41.1" customHeight="1">
      <c r="A2" s="454" t="s">
        <v>490</v>
      </c>
      <c r="B2" s="455"/>
    </row>
    <row r="3" spans="1:2" ht="78.75">
      <c r="A3" s="421" t="s">
        <v>491</v>
      </c>
      <c r="B3" s="421" t="s">
        <v>492</v>
      </c>
    </row>
    <row r="4" spans="1:2" ht="31.5">
      <c r="A4" s="421" t="s">
        <v>493</v>
      </c>
      <c r="B4" s="421" t="s">
        <v>494</v>
      </c>
    </row>
    <row r="5" spans="1:2" ht="47.25">
      <c r="A5" s="421" t="s">
        <v>495</v>
      </c>
      <c r="B5" s="422" t="s">
        <v>496</v>
      </c>
    </row>
    <row r="6" spans="1:2" ht="47.25">
      <c r="A6" s="425" t="s">
        <v>497</v>
      </c>
      <c r="B6" s="425" t="s">
        <v>498</v>
      </c>
    </row>
    <row r="7" spans="1:2" ht="47.25">
      <c r="A7" s="426" t="s">
        <v>499</v>
      </c>
      <c r="B7" s="423" t="s">
        <v>500</v>
      </c>
    </row>
  </sheetData>
  <sheetProtection algorithmName="SHA-512" hashValue="J8AuRpMT/RE4iQdWv46Y1ChvuICVkdYPEWK1QZ2pGBxzcPAJcK/cIBEntKX6aEIA8k+lHyvEznJL02P+gEWcZA==" saltValue="jJxk67c/XHXPhk9P20/gtw==" spinCount="100000" sheet="1" objects="1" scenarios="1" selectLockedCells="1" selectUnlockedCells="1"/>
  <mergeCells count="1">
    <mergeCell ref="A2:B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22DE2-6CF6-F443-A316-6F22BBAC43B4}">
  <dimension ref="A1:D80"/>
  <sheetViews>
    <sheetView topLeftCell="A57" zoomScale="90" zoomScaleNormal="90" workbookViewId="0">
      <selection activeCell="B62" sqref="B62"/>
    </sheetView>
  </sheetViews>
  <sheetFormatPr baseColWidth="10" defaultColWidth="11.375" defaultRowHeight="15.75"/>
  <cols>
    <col min="1" max="1" width="50.625" customWidth="1"/>
    <col min="2" max="2" width="14.5" style="18" customWidth="1"/>
    <col min="3" max="3" width="21.375" style="19" customWidth="1"/>
    <col min="4" max="4" width="159.875" bestFit="1" customWidth="1"/>
  </cols>
  <sheetData>
    <row r="1" spans="1:4">
      <c r="A1" s="1" t="s">
        <v>501</v>
      </c>
      <c r="B1" s="1" t="s">
        <v>502</v>
      </c>
      <c r="C1" s="2" t="s">
        <v>503</v>
      </c>
      <c r="D1" s="3" t="s">
        <v>504</v>
      </c>
    </row>
    <row r="2" spans="1:4">
      <c r="A2" s="4" t="s">
        <v>505</v>
      </c>
      <c r="B2" s="5"/>
      <c r="C2" s="6"/>
      <c r="D2" s="7"/>
    </row>
    <row r="3" spans="1:4">
      <c r="A3" s="7" t="s">
        <v>506</v>
      </c>
      <c r="B3" s="8"/>
      <c r="C3" s="9" t="s">
        <v>507</v>
      </c>
      <c r="D3" s="335" t="s">
        <v>508</v>
      </c>
    </row>
    <row r="4" spans="1:4">
      <c r="A4" s="4" t="s">
        <v>509</v>
      </c>
      <c r="B4" s="8"/>
      <c r="C4" s="9"/>
      <c r="D4" s="10"/>
    </row>
    <row r="5" spans="1:4">
      <c r="A5" s="7" t="s">
        <v>510</v>
      </c>
      <c r="B5" s="5" t="s">
        <v>511</v>
      </c>
      <c r="C5" s="9" t="s">
        <v>512</v>
      </c>
      <c r="D5" s="13" t="s">
        <v>513</v>
      </c>
    </row>
    <row r="6" spans="1:4">
      <c r="A6" s="7" t="s">
        <v>514</v>
      </c>
      <c r="B6" s="385" t="s">
        <v>515</v>
      </c>
      <c r="C6" s="9" t="s">
        <v>512</v>
      </c>
      <c r="D6" s="13" t="s">
        <v>513</v>
      </c>
    </row>
    <row r="7" spans="1:4">
      <c r="A7" s="7" t="s">
        <v>516</v>
      </c>
      <c r="B7" s="5" t="s">
        <v>517</v>
      </c>
      <c r="C7" s="9" t="s">
        <v>512</v>
      </c>
      <c r="D7" s="13" t="s">
        <v>513</v>
      </c>
    </row>
    <row r="8" spans="1:4">
      <c r="A8" s="7" t="s">
        <v>518</v>
      </c>
      <c r="B8" s="5" t="s">
        <v>519</v>
      </c>
      <c r="C8" s="12" t="s">
        <v>512</v>
      </c>
      <c r="D8" s="13" t="s">
        <v>513</v>
      </c>
    </row>
    <row r="9" spans="1:4">
      <c r="A9" s="7" t="s">
        <v>520</v>
      </c>
      <c r="B9" s="5" t="s">
        <v>521</v>
      </c>
      <c r="C9" s="12" t="s">
        <v>512</v>
      </c>
      <c r="D9" s="13" t="s">
        <v>513</v>
      </c>
    </row>
    <row r="10" spans="1:4">
      <c r="A10" s="7" t="s">
        <v>522</v>
      </c>
      <c r="B10" s="5" t="s">
        <v>523</v>
      </c>
      <c r="C10" s="6" t="s">
        <v>524</v>
      </c>
      <c r="D10" s="13" t="s">
        <v>525</v>
      </c>
    </row>
    <row r="11" spans="1:4">
      <c r="A11" s="4" t="s">
        <v>10</v>
      </c>
      <c r="B11" s="5"/>
      <c r="C11" s="6"/>
      <c r="D11" s="7"/>
    </row>
    <row r="12" spans="1:4">
      <c r="A12" s="7" t="s">
        <v>526</v>
      </c>
      <c r="B12" s="5" t="s">
        <v>527</v>
      </c>
      <c r="C12" s="6" t="s">
        <v>512</v>
      </c>
      <c r="D12" s="13" t="s">
        <v>528</v>
      </c>
    </row>
    <row r="13" spans="1:4">
      <c r="A13" s="7" t="s">
        <v>529</v>
      </c>
      <c r="B13" s="385" t="s">
        <v>530</v>
      </c>
      <c r="C13" s="6" t="s">
        <v>512</v>
      </c>
      <c r="D13" s="13" t="s">
        <v>528</v>
      </c>
    </row>
    <row r="14" spans="1:4">
      <c r="A14" s="7" t="s">
        <v>531</v>
      </c>
      <c r="B14" s="5" t="s">
        <v>532</v>
      </c>
      <c r="C14" s="6" t="s">
        <v>533</v>
      </c>
      <c r="D14" s="13" t="s">
        <v>534</v>
      </c>
    </row>
    <row r="15" spans="1:4">
      <c r="A15" s="7" t="s">
        <v>535</v>
      </c>
      <c r="B15" s="5" t="s">
        <v>532</v>
      </c>
      <c r="C15" s="6" t="s">
        <v>533</v>
      </c>
      <c r="D15" s="11" t="s">
        <v>536</v>
      </c>
    </row>
    <row r="16" spans="1:4">
      <c r="A16" s="7" t="s">
        <v>537</v>
      </c>
      <c r="B16" s="5" t="s">
        <v>538</v>
      </c>
      <c r="C16" s="6" t="s">
        <v>512</v>
      </c>
      <c r="D16" s="11" t="s">
        <v>528</v>
      </c>
    </row>
    <row r="17" spans="1:4">
      <c r="A17" s="7" t="s">
        <v>539</v>
      </c>
      <c r="B17" s="5" t="s">
        <v>540</v>
      </c>
      <c r="C17" s="6" t="s">
        <v>541</v>
      </c>
      <c r="D17" s="11" t="s">
        <v>542</v>
      </c>
    </row>
    <row r="18" spans="1:4">
      <c r="A18" s="4" t="s">
        <v>543</v>
      </c>
      <c r="B18" s="5"/>
      <c r="C18" s="6"/>
      <c r="D18" s="7"/>
    </row>
    <row r="19" spans="1:4">
      <c r="A19" s="7" t="s">
        <v>544</v>
      </c>
      <c r="B19" s="5" t="s">
        <v>545</v>
      </c>
      <c r="C19" s="6" t="s">
        <v>546</v>
      </c>
      <c r="D19" s="13" t="s">
        <v>547</v>
      </c>
    </row>
    <row r="20" spans="1:4">
      <c r="A20" s="7" t="s">
        <v>548</v>
      </c>
      <c r="B20" s="385" t="s">
        <v>549</v>
      </c>
      <c r="C20" s="6" t="s">
        <v>546</v>
      </c>
      <c r="D20" s="13" t="s">
        <v>547</v>
      </c>
    </row>
    <row r="21" spans="1:4">
      <c r="A21" s="7" t="s">
        <v>550</v>
      </c>
      <c r="B21" s="5" t="s">
        <v>551</v>
      </c>
      <c r="C21" s="6" t="s">
        <v>546</v>
      </c>
      <c r="D21" s="11" t="s">
        <v>552</v>
      </c>
    </row>
    <row r="22" spans="1:4">
      <c r="A22" s="7" t="s">
        <v>553</v>
      </c>
      <c r="B22" s="5" t="s">
        <v>554</v>
      </c>
      <c r="C22" s="6" t="s">
        <v>555</v>
      </c>
      <c r="D22" s="11" t="s">
        <v>547</v>
      </c>
    </row>
    <row r="23" spans="1:4">
      <c r="A23" s="7" t="s">
        <v>556</v>
      </c>
      <c r="B23" s="5" t="s">
        <v>551</v>
      </c>
      <c r="C23" s="6" t="s">
        <v>546</v>
      </c>
      <c r="D23" s="11" t="s">
        <v>547</v>
      </c>
    </row>
    <row r="24" spans="1:4">
      <c r="A24" s="7" t="s">
        <v>557</v>
      </c>
      <c r="B24" s="5" t="s">
        <v>558</v>
      </c>
      <c r="C24" s="6"/>
      <c r="D24" s="11" t="s">
        <v>559</v>
      </c>
    </row>
    <row r="25" spans="1:4">
      <c r="A25" s="4" t="s">
        <v>6</v>
      </c>
      <c r="B25" s="5"/>
      <c r="C25" s="6"/>
      <c r="D25" s="387"/>
    </row>
    <row r="26" spans="1:4">
      <c r="A26" s="7" t="s">
        <v>560</v>
      </c>
      <c r="B26" s="5" t="s">
        <v>561</v>
      </c>
      <c r="C26" s="386" t="s">
        <v>512</v>
      </c>
      <c r="D26" s="389" t="s">
        <v>562</v>
      </c>
    </row>
    <row r="27" spans="1:4">
      <c r="A27" s="7" t="s">
        <v>563</v>
      </c>
      <c r="B27" s="385" t="s">
        <v>564</v>
      </c>
      <c r="C27" s="386" t="s">
        <v>512</v>
      </c>
      <c r="D27" s="389" t="s">
        <v>562</v>
      </c>
    </row>
    <row r="28" spans="1:4">
      <c r="A28" s="7" t="s">
        <v>565</v>
      </c>
      <c r="B28" s="5" t="s">
        <v>566</v>
      </c>
      <c r="C28" s="386" t="s">
        <v>533</v>
      </c>
      <c r="D28" s="389" t="s">
        <v>567</v>
      </c>
    </row>
    <row r="29" spans="1:4">
      <c r="A29" s="7" t="s">
        <v>568</v>
      </c>
      <c r="B29" s="5" t="s">
        <v>566</v>
      </c>
      <c r="C29" s="386" t="s">
        <v>533</v>
      </c>
      <c r="D29" s="390" t="s">
        <v>567</v>
      </c>
    </row>
    <row r="30" spans="1:4">
      <c r="A30" s="7" t="s">
        <v>569</v>
      </c>
      <c r="B30" s="5" t="s">
        <v>570</v>
      </c>
      <c r="C30" s="386" t="s">
        <v>512</v>
      </c>
      <c r="D30" s="389" t="s">
        <v>562</v>
      </c>
    </row>
    <row r="31" spans="1:4">
      <c r="A31" s="7" t="s">
        <v>571</v>
      </c>
      <c r="B31" s="5"/>
      <c r="C31" s="6"/>
      <c r="D31" s="388"/>
    </row>
    <row r="32" spans="1:4">
      <c r="A32" s="4" t="s">
        <v>572</v>
      </c>
      <c r="B32" s="5"/>
      <c r="C32" s="6"/>
      <c r="D32" s="7"/>
    </row>
    <row r="33" spans="1:4">
      <c r="A33" s="7" t="s">
        <v>573</v>
      </c>
      <c r="B33" s="5" t="s">
        <v>574</v>
      </c>
      <c r="C33" s="6" t="s">
        <v>512</v>
      </c>
      <c r="D33" s="13" t="s">
        <v>575</v>
      </c>
    </row>
    <row r="34" spans="1:4">
      <c r="A34" s="7" t="s">
        <v>576</v>
      </c>
      <c r="B34" s="385" t="s">
        <v>577</v>
      </c>
      <c r="C34" s="6" t="s">
        <v>512</v>
      </c>
      <c r="D34" s="13" t="s">
        <v>575</v>
      </c>
    </row>
    <row r="35" spans="1:4">
      <c r="A35" s="7" t="s">
        <v>578</v>
      </c>
      <c r="B35" s="5" t="s">
        <v>579</v>
      </c>
      <c r="C35" s="6" t="s">
        <v>533</v>
      </c>
      <c r="D35" s="11" t="s">
        <v>580</v>
      </c>
    </row>
    <row r="36" spans="1:4">
      <c r="A36" s="7" t="s">
        <v>581</v>
      </c>
      <c r="B36" s="5" t="s">
        <v>582</v>
      </c>
      <c r="C36" s="6" t="s">
        <v>533</v>
      </c>
      <c r="D36" s="11" t="s">
        <v>580</v>
      </c>
    </row>
    <row r="37" spans="1:4">
      <c r="A37" s="7" t="s">
        <v>583</v>
      </c>
      <c r="B37" s="5" t="s">
        <v>584</v>
      </c>
      <c r="C37" s="6" t="s">
        <v>512</v>
      </c>
      <c r="D37" s="11" t="s">
        <v>575</v>
      </c>
    </row>
    <row r="38" spans="1:4">
      <c r="A38" s="7" t="s">
        <v>585</v>
      </c>
      <c r="B38" s="5"/>
      <c r="C38" s="6"/>
      <c r="D38" s="13"/>
    </row>
    <row r="39" spans="1:4">
      <c r="A39" s="4" t="s">
        <v>9</v>
      </c>
      <c r="B39" s="5"/>
      <c r="C39" s="6"/>
      <c r="D39" s="7"/>
    </row>
    <row r="40" spans="1:4">
      <c r="A40" s="7" t="s">
        <v>586</v>
      </c>
      <c r="B40" s="5" t="s">
        <v>587</v>
      </c>
      <c r="C40" s="6" t="s">
        <v>512</v>
      </c>
      <c r="D40" s="11" t="s">
        <v>588</v>
      </c>
    </row>
    <row r="41" spans="1:4">
      <c r="A41" s="7" t="s">
        <v>589</v>
      </c>
      <c r="B41" s="385" t="s">
        <v>590</v>
      </c>
      <c r="C41" s="6" t="s">
        <v>512</v>
      </c>
      <c r="D41" s="13" t="s">
        <v>588</v>
      </c>
    </row>
    <row r="42" spans="1:4">
      <c r="A42" s="7" t="s">
        <v>591</v>
      </c>
      <c r="B42" s="5" t="s">
        <v>592</v>
      </c>
      <c r="C42" s="6" t="s">
        <v>593</v>
      </c>
      <c r="D42" s="11" t="s">
        <v>594</v>
      </c>
    </row>
    <row r="43" spans="1:4">
      <c r="A43" s="214" t="s">
        <v>595</v>
      </c>
      <c r="B43" s="5" t="s">
        <v>592</v>
      </c>
      <c r="C43" s="6" t="s">
        <v>593</v>
      </c>
      <c r="D43" s="11" t="s">
        <v>594</v>
      </c>
    </row>
    <row r="44" spans="1:4">
      <c r="A44" s="7" t="s">
        <v>596</v>
      </c>
      <c r="B44" s="5" t="s">
        <v>597</v>
      </c>
      <c r="C44" s="6" t="s">
        <v>512</v>
      </c>
      <c r="D44" s="11" t="s">
        <v>588</v>
      </c>
    </row>
    <row r="45" spans="1:4">
      <c r="A45" s="7" t="s">
        <v>598</v>
      </c>
      <c r="B45" s="5" t="s">
        <v>599</v>
      </c>
      <c r="C45" s="6" t="s">
        <v>512</v>
      </c>
      <c r="D45" s="11" t="s">
        <v>588</v>
      </c>
    </row>
    <row r="46" spans="1:4">
      <c r="A46" s="14" t="s">
        <v>600</v>
      </c>
      <c r="B46" s="5"/>
      <c r="C46" s="6"/>
      <c r="D46" s="11"/>
    </row>
    <row r="47" spans="1:4">
      <c r="A47" s="7" t="s">
        <v>601</v>
      </c>
      <c r="B47" s="5" t="s">
        <v>602</v>
      </c>
      <c r="C47" s="6" t="s">
        <v>512</v>
      </c>
      <c r="D47" s="13" t="s">
        <v>603</v>
      </c>
    </row>
    <row r="48" spans="1:4">
      <c r="A48" s="7" t="s">
        <v>604</v>
      </c>
      <c r="B48" s="385" t="s">
        <v>605</v>
      </c>
      <c r="C48" s="6" t="s">
        <v>512</v>
      </c>
      <c r="D48" s="13" t="s">
        <v>603</v>
      </c>
    </row>
    <row r="49" spans="1:4">
      <c r="A49" s="7" t="s">
        <v>606</v>
      </c>
      <c r="B49" s="5" t="s">
        <v>607</v>
      </c>
      <c r="C49" s="6" t="s">
        <v>593</v>
      </c>
      <c r="D49" s="11" t="s">
        <v>608</v>
      </c>
    </row>
    <row r="50" spans="1:4">
      <c r="A50" s="7" t="s">
        <v>609</v>
      </c>
      <c r="B50" s="5" t="s">
        <v>610</v>
      </c>
      <c r="C50" s="6" t="s">
        <v>611</v>
      </c>
      <c r="D50" s="13" t="s">
        <v>612</v>
      </c>
    </row>
    <row r="51" spans="1:4">
      <c r="A51" s="7" t="s">
        <v>613</v>
      </c>
      <c r="B51" s="5" t="s">
        <v>614</v>
      </c>
      <c r="C51" s="6" t="s">
        <v>512</v>
      </c>
      <c r="D51" s="11" t="s">
        <v>603</v>
      </c>
    </row>
    <row r="52" spans="1:4">
      <c r="A52" s="7" t="s">
        <v>615</v>
      </c>
      <c r="B52" s="5" t="s">
        <v>616</v>
      </c>
      <c r="C52" s="6" t="s">
        <v>512</v>
      </c>
      <c r="D52" s="11" t="s">
        <v>603</v>
      </c>
    </row>
    <row r="53" spans="1:4">
      <c r="A53" s="4" t="s">
        <v>28</v>
      </c>
      <c r="B53" s="5"/>
      <c r="C53" s="6"/>
      <c r="D53" s="11"/>
    </row>
    <row r="54" spans="1:4">
      <c r="A54" s="7" t="s">
        <v>617</v>
      </c>
      <c r="B54" s="5" t="s">
        <v>618</v>
      </c>
      <c r="C54" s="6" t="s">
        <v>512</v>
      </c>
      <c r="D54" s="13" t="s">
        <v>619</v>
      </c>
    </row>
    <row r="55" spans="1:4">
      <c r="A55" s="7" t="s">
        <v>620</v>
      </c>
      <c r="B55" s="385" t="s">
        <v>621</v>
      </c>
      <c r="C55" s="6" t="s">
        <v>512</v>
      </c>
      <c r="D55" s="13" t="s">
        <v>619</v>
      </c>
    </row>
    <row r="56" spans="1:4">
      <c r="A56" s="7" t="s">
        <v>622</v>
      </c>
      <c r="B56" s="5" t="s">
        <v>623</v>
      </c>
      <c r="C56" s="6" t="s">
        <v>593</v>
      </c>
      <c r="D56" s="13" t="s">
        <v>624</v>
      </c>
    </row>
    <row r="57" spans="1:4">
      <c r="A57" s="7" t="s">
        <v>625</v>
      </c>
      <c r="B57" s="5" t="s">
        <v>623</v>
      </c>
      <c r="C57" s="6" t="s">
        <v>593</v>
      </c>
      <c r="D57" s="13" t="s">
        <v>624</v>
      </c>
    </row>
    <row r="58" spans="1:4">
      <c r="A58" s="7" t="s">
        <v>626</v>
      </c>
      <c r="B58" s="5" t="s">
        <v>627</v>
      </c>
      <c r="C58" s="6" t="s">
        <v>512</v>
      </c>
      <c r="D58" s="13" t="s">
        <v>619</v>
      </c>
    </row>
    <row r="59" spans="1:4">
      <c r="A59" s="7" t="s">
        <v>628</v>
      </c>
      <c r="B59" s="5" t="s">
        <v>629</v>
      </c>
      <c r="C59" s="6" t="s">
        <v>630</v>
      </c>
      <c r="D59" s="15" t="s">
        <v>631</v>
      </c>
    </row>
    <row r="60" spans="1:4">
      <c r="A60" s="4" t="s">
        <v>632</v>
      </c>
      <c r="B60" s="5"/>
      <c r="C60" s="6"/>
      <c r="D60" s="13"/>
    </row>
    <row r="61" spans="1:4">
      <c r="A61" s="7" t="s">
        <v>633</v>
      </c>
      <c r="B61" s="5" t="s">
        <v>634</v>
      </c>
      <c r="C61" s="6" t="s">
        <v>512</v>
      </c>
      <c r="D61" s="13" t="s">
        <v>635</v>
      </c>
    </row>
    <row r="62" spans="1:4">
      <c r="A62" s="7" t="s">
        <v>636</v>
      </c>
      <c r="B62" s="385" t="s">
        <v>637</v>
      </c>
      <c r="C62" s="6" t="s">
        <v>512</v>
      </c>
      <c r="D62" s="13" t="s">
        <v>635</v>
      </c>
    </row>
    <row r="63" spans="1:4">
      <c r="A63" s="7" t="s">
        <v>638</v>
      </c>
      <c r="B63" s="5" t="s">
        <v>639</v>
      </c>
      <c r="C63" s="6" t="s">
        <v>533</v>
      </c>
      <c r="D63" s="13" t="s">
        <v>640</v>
      </c>
    </row>
    <row r="64" spans="1:4">
      <c r="A64" s="7" t="s">
        <v>641</v>
      </c>
      <c r="B64" s="5" t="s">
        <v>639</v>
      </c>
      <c r="C64" s="6" t="s">
        <v>533</v>
      </c>
      <c r="D64" s="13" t="s">
        <v>640</v>
      </c>
    </row>
    <row r="65" spans="1:4">
      <c r="A65" s="7" t="s">
        <v>642</v>
      </c>
      <c r="B65" s="5" t="s">
        <v>643</v>
      </c>
      <c r="C65" s="6" t="s">
        <v>512</v>
      </c>
      <c r="D65" s="13" t="s">
        <v>635</v>
      </c>
    </row>
    <row r="66" spans="1:4">
      <c r="A66" s="7" t="s">
        <v>644</v>
      </c>
      <c r="B66" s="5"/>
      <c r="C66" s="6" t="s">
        <v>645</v>
      </c>
      <c r="D66" s="15" t="s">
        <v>646</v>
      </c>
    </row>
    <row r="67" spans="1:4">
      <c r="A67" s="4" t="s">
        <v>4</v>
      </c>
      <c r="B67" s="5"/>
      <c r="C67" s="6"/>
      <c r="D67" s="15"/>
    </row>
    <row r="68" spans="1:4">
      <c r="A68" s="7" t="s">
        <v>647</v>
      </c>
      <c r="B68" s="5" t="s">
        <v>629</v>
      </c>
      <c r="C68" s="5" t="s">
        <v>648</v>
      </c>
      <c r="D68" s="17" t="s">
        <v>649</v>
      </c>
    </row>
    <row r="69" spans="1:4">
      <c r="A69" s="7" t="s">
        <v>650</v>
      </c>
      <c r="B69" s="385" t="s">
        <v>651</v>
      </c>
      <c r="C69" s="5" t="s">
        <v>512</v>
      </c>
      <c r="D69" s="213" t="s">
        <v>652</v>
      </c>
    </row>
    <row r="70" spans="1:4">
      <c r="A70" s="7" t="s">
        <v>653</v>
      </c>
      <c r="B70" s="5" t="s">
        <v>654</v>
      </c>
      <c r="C70" s="5" t="s">
        <v>533</v>
      </c>
      <c r="D70" s="16" t="s">
        <v>655</v>
      </c>
    </row>
    <row r="71" spans="1:4">
      <c r="A71" s="7" t="s">
        <v>656</v>
      </c>
      <c r="B71" s="5" t="s">
        <v>654</v>
      </c>
      <c r="C71" s="5" t="s">
        <v>533</v>
      </c>
      <c r="D71" s="16" t="s">
        <v>655</v>
      </c>
    </row>
    <row r="72" spans="1:4">
      <c r="A72" s="7" t="s">
        <v>657</v>
      </c>
      <c r="B72" s="5" t="s">
        <v>658</v>
      </c>
      <c r="C72" s="5" t="s">
        <v>533</v>
      </c>
      <c r="D72" s="16" t="s">
        <v>659</v>
      </c>
    </row>
    <row r="73" spans="1:4">
      <c r="A73" s="7" t="s">
        <v>660</v>
      </c>
      <c r="B73" s="5" t="s">
        <v>661</v>
      </c>
      <c r="C73" s="5" t="s">
        <v>512</v>
      </c>
      <c r="D73" s="17" t="s">
        <v>652</v>
      </c>
    </row>
    <row r="74" spans="1:4">
      <c r="A74" s="4" t="s">
        <v>26</v>
      </c>
      <c r="B74" s="5"/>
      <c r="C74" s="6"/>
      <c r="D74" s="15"/>
    </row>
    <row r="75" spans="1:4">
      <c r="A75" s="7" t="s">
        <v>662</v>
      </c>
      <c r="B75" s="5" t="s">
        <v>663</v>
      </c>
      <c r="C75" s="5" t="s">
        <v>512</v>
      </c>
      <c r="D75" s="17" t="s">
        <v>664</v>
      </c>
    </row>
    <row r="76" spans="1:4">
      <c r="A76" s="7" t="s">
        <v>665</v>
      </c>
      <c r="B76" s="385" t="s">
        <v>666</v>
      </c>
      <c r="C76" s="5" t="s">
        <v>512</v>
      </c>
      <c r="D76" s="213" t="s">
        <v>664</v>
      </c>
    </row>
    <row r="77" spans="1:4">
      <c r="A77" s="7" t="s">
        <v>667</v>
      </c>
      <c r="B77" s="5" t="s">
        <v>668</v>
      </c>
      <c r="C77" s="5" t="s">
        <v>533</v>
      </c>
      <c r="D77" s="16" t="s">
        <v>669</v>
      </c>
    </row>
    <row r="78" spans="1:4">
      <c r="A78" s="7" t="s">
        <v>670</v>
      </c>
      <c r="B78" s="5" t="s">
        <v>668</v>
      </c>
      <c r="C78" s="5" t="s">
        <v>533</v>
      </c>
      <c r="D78" s="16" t="s">
        <v>669</v>
      </c>
    </row>
    <row r="79" spans="1:4">
      <c r="A79" s="7" t="s">
        <v>671</v>
      </c>
      <c r="B79" s="5" t="s">
        <v>672</v>
      </c>
      <c r="C79" s="5" t="s">
        <v>512</v>
      </c>
      <c r="D79" s="393" t="s">
        <v>664</v>
      </c>
    </row>
    <row r="80" spans="1:4">
      <c r="A80" s="7" t="s">
        <v>673</v>
      </c>
      <c r="B80" s="5"/>
      <c r="C80" s="5"/>
      <c r="D80" s="17"/>
    </row>
  </sheetData>
  <sheetProtection algorithmName="SHA-512" hashValue="L3WkZAa4DjbuPcxTtBwLQAd+HgyxpYGtlIEVRboXyjMNTRCubad2OxzBFUCgtwyZvot6/TK99b1HlP3/cMWLHg==" saltValue="DP3TWSoPDFxh8BTWzh1eLw==" spinCount="100000" sheet="1" objects="1" scenarios="1" selectLockedCells="1" selectUnlockedCells="1"/>
  <phoneticPr fontId="15" type="noConversion"/>
  <hyperlinks>
    <hyperlink ref="D50" r:id="rId1" xr:uid="{354AD686-40BA-3242-A29B-2EE5D1C7AA51}"/>
    <hyperlink ref="D42" r:id="rId2" xr:uid="{A43C6D69-2C29-1C43-96F3-FB1C4731520E}"/>
    <hyperlink ref="D49" r:id="rId3" xr:uid="{FA5007DD-683F-2940-AA2B-7028112437E4}"/>
    <hyperlink ref="D51" r:id="rId4" xr:uid="{96B4AD8C-5229-D743-BED8-AD980253ECD7}"/>
    <hyperlink ref="D44" r:id="rId5" location="page146" xr:uid="{E06AC255-8269-F347-A99E-A9B1C1F8656A}"/>
    <hyperlink ref="D3" r:id="rId6" xr:uid="{159BD731-0C23-324C-BABF-CFDF4A5B8D85}"/>
    <hyperlink ref="D36" r:id="rId7" xr:uid="{188F5978-0027-4C4C-9CF4-3A894E0B1EB1}"/>
    <hyperlink ref="D40" r:id="rId8" location="page146" display="https://www.santander.com/content/dam/santander-com/en/documentos/informe-anual/2019/ia-2019-annual-report-en.pdf - page146" xr:uid="{0A5D1462-2BF1-2B43-B949-94D93E25F81B}"/>
    <hyperlink ref="D45" r:id="rId9" location="page146" display="https://www.santander.com/content/dam/santander-com/en/documentos/informe-anual/2019/ia-2019-annual-report-en.pdf - page146" xr:uid="{11E53CCE-43E2-3D4D-B078-46CF47624142}"/>
    <hyperlink ref="D47" r:id="rId10" xr:uid="{4048D975-2ED7-7F44-B054-9EB134AAB1EF}"/>
    <hyperlink ref="D52" r:id="rId11" display="https://www.ing.com/web/file?uuid=233b1556-54d9-4fb7-9385-c1a4e3f083f1&amp;owner=b03bc017-e0db-4b5d-abbf-003b12934429&amp;contentid=49335" xr:uid="{57046405-D1BF-3B4C-951C-BC0949371D96}"/>
    <hyperlink ref="D19" r:id="rId12" xr:uid="{B5211F2D-7BA5-C74D-9947-39D4FA6B6ED0}"/>
    <hyperlink ref="D23" r:id="rId13" xr:uid="{D48C7CDE-C113-AF4D-A7B2-98791BC8A166}"/>
    <hyperlink ref="D22" r:id="rId14" xr:uid="{3B78DBAB-C548-B949-BBB0-40B988AF426F}"/>
    <hyperlink ref="D24" r:id="rId15" xr:uid="{3B50D529-34C8-414C-8E9C-7D5353222529}"/>
    <hyperlink ref="D29" r:id="rId16" xr:uid="{EC20C8BA-4D68-0A43-935E-9C574C50A006}"/>
    <hyperlink ref="D56" r:id="rId17" xr:uid="{5DD556A6-5D1F-E44E-93E3-AB95E15B91E1}"/>
    <hyperlink ref="D66" r:id="rId18" xr:uid="{4F3BE7F8-DBAD-1E4C-9BA9-CB25777A5718}"/>
    <hyperlink ref="D57" r:id="rId19" xr:uid="{13C22315-DD3D-E444-AE56-A503D6A238A1}"/>
    <hyperlink ref="D37" r:id="rId20" xr:uid="{8B30003F-E1AC-443A-9F68-EAD6F33B20F6}"/>
    <hyperlink ref="D35" r:id="rId21" xr:uid="{FC0E621E-6447-4EC3-8400-360D6BD29577}"/>
    <hyperlink ref="D33" r:id="rId22" xr:uid="{FC3F2D02-718B-4CCA-9CF0-BB82008FB263}"/>
    <hyperlink ref="D26" r:id="rId23" xr:uid="{6256C19E-9424-4DBD-B6F7-7F6E795C5E8C}"/>
    <hyperlink ref="D21" r:id="rId24" xr:uid="{66EB03D4-1462-43D2-A38B-83091B6F5050}"/>
    <hyperlink ref="D14" r:id="rId25" xr:uid="{DD7BEB92-6237-413D-8328-BC2EC5923683}"/>
    <hyperlink ref="D12" r:id="rId26" xr:uid="{B7847B00-B734-447A-9ACA-0282B5C04BBB}"/>
    <hyperlink ref="D16" r:id="rId27" xr:uid="{DEF41825-C06F-4C5A-93E7-9179FFC8C0D1}"/>
    <hyperlink ref="D17" r:id="rId28" xr:uid="{123729F9-CC10-4F2D-B863-C59519B7AED8}"/>
    <hyperlink ref="D5" r:id="rId29" xr:uid="{0176C72C-2F03-4C60-BE59-525EB87B5C9D}"/>
    <hyperlink ref="D7" r:id="rId30" xr:uid="{0C898C8B-4EDF-4E77-AE92-FB3E8C6DA221}"/>
    <hyperlink ref="D8" r:id="rId31" xr:uid="{AE0535BC-A984-47DA-9860-D98BCC245559}"/>
    <hyperlink ref="D9" r:id="rId32" xr:uid="{F036C0EC-C666-4C5C-835D-7FFAA8404D42}"/>
    <hyperlink ref="D10" r:id="rId33" xr:uid="{74A489F5-315E-462B-9030-2B0D91A87A0D}"/>
    <hyperlink ref="D73" r:id="rId34" xr:uid="{554385F8-8F1A-4470-A829-1A6A94A692C3}"/>
    <hyperlink ref="D72" r:id="rId35" xr:uid="{ED3F1141-D08F-475A-9D18-A8FC213EFFB5}"/>
    <hyperlink ref="D68" r:id="rId36" xr:uid="{449408ED-FF58-4F46-83E1-CBCA5EA5E22E}"/>
    <hyperlink ref="D43" r:id="rId37" xr:uid="{E775D517-BA95-49D9-B0E6-DEF4736D69D6}"/>
    <hyperlink ref="D30" r:id="rId38" xr:uid="{03972E81-F6B5-4F05-BD73-396AA83B9316}"/>
    <hyperlink ref="D54" r:id="rId39" xr:uid="{CAA46E2C-CCE0-4756-B308-34C9480D6B35}"/>
    <hyperlink ref="D6" r:id="rId40" xr:uid="{75EE3C2A-B4AC-4BC8-BC41-C7BD1173E3C7}"/>
    <hyperlink ref="D20" r:id="rId41" xr:uid="{D8AFD8F0-0A09-4455-BB1F-9FA740530721}"/>
    <hyperlink ref="D69" r:id="rId42" xr:uid="{B4B8E543-F1BA-4127-8A54-377879ECFB59}"/>
    <hyperlink ref="D34" r:id="rId43" xr:uid="{EA51458B-A43E-4BFD-81D2-C4F83364ED1E}"/>
    <hyperlink ref="D27" r:id="rId44" xr:uid="{2125307B-B470-4AC8-8F06-CC2623589BE8}"/>
    <hyperlink ref="D61" r:id="rId45" xr:uid="{B53249E9-BDB3-4A3C-AA66-51A239073146}"/>
    <hyperlink ref="D41" r:id="rId46" location="page146" xr:uid="{2A80E29A-4BAE-43FC-9B34-D4D61467E092}"/>
    <hyperlink ref="D13" r:id="rId47" xr:uid="{1A2D1F5E-B32D-42D4-83EF-EB863F57B62A}"/>
    <hyperlink ref="D48" r:id="rId48" xr:uid="{654D003E-9B38-49D8-83BB-6C212D7AD61A}"/>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50106-D1B9-4102-80FD-2E1F7144B3EF}">
  <dimension ref="A1:D85"/>
  <sheetViews>
    <sheetView zoomScale="92" zoomScaleNormal="60" workbookViewId="0">
      <selection activeCell="D17" sqref="D17"/>
    </sheetView>
  </sheetViews>
  <sheetFormatPr baseColWidth="10" defaultColWidth="11" defaultRowHeight="15.75"/>
  <cols>
    <col min="1" max="1" width="39.875" customWidth="1"/>
    <col min="2" max="2" width="20.5" customWidth="1"/>
    <col min="3" max="3" width="13.375" customWidth="1"/>
    <col min="4" max="4" width="255.875" bestFit="1" customWidth="1"/>
  </cols>
  <sheetData>
    <row r="1" spans="1:4">
      <c r="A1" s="1" t="s">
        <v>501</v>
      </c>
      <c r="B1" s="1" t="s">
        <v>502</v>
      </c>
      <c r="C1" s="2" t="s">
        <v>503</v>
      </c>
      <c r="D1" s="3" t="s">
        <v>504</v>
      </c>
    </row>
    <row r="2" spans="1:4">
      <c r="A2" s="4" t="s">
        <v>61</v>
      </c>
    </row>
    <row r="3" spans="1:4">
      <c r="A3" s="7" t="s">
        <v>674</v>
      </c>
      <c r="B3" s="9" t="s">
        <v>566</v>
      </c>
      <c r="C3" s="9" t="s">
        <v>512</v>
      </c>
      <c r="D3" s="226" t="s">
        <v>675</v>
      </c>
    </row>
    <row r="4" spans="1:4">
      <c r="A4" s="7" t="s">
        <v>676</v>
      </c>
      <c r="B4" s="402" t="s">
        <v>566</v>
      </c>
      <c r="C4" s="9" t="s">
        <v>512</v>
      </c>
      <c r="D4" s="226" t="s">
        <v>675</v>
      </c>
    </row>
    <row r="5" spans="1:4">
      <c r="A5" s="7" t="s">
        <v>677</v>
      </c>
      <c r="B5" s="9" t="s">
        <v>678</v>
      </c>
      <c r="C5" s="9" t="s">
        <v>679</v>
      </c>
      <c r="D5" s="226" t="s">
        <v>680</v>
      </c>
    </row>
    <row r="6" spans="1:4">
      <c r="A6" s="7" t="s">
        <v>681</v>
      </c>
      <c r="B6" s="9" t="s">
        <v>682</v>
      </c>
      <c r="C6" s="9" t="s">
        <v>679</v>
      </c>
      <c r="D6" s="226" t="s">
        <v>680</v>
      </c>
    </row>
    <row r="7" spans="1:4">
      <c r="A7" s="7" t="s">
        <v>683</v>
      </c>
      <c r="B7" s="9" t="s">
        <v>684</v>
      </c>
      <c r="C7" s="9" t="s">
        <v>679</v>
      </c>
      <c r="D7" s="226" t="s">
        <v>685</v>
      </c>
    </row>
    <row r="8" spans="1:4">
      <c r="A8" s="7" t="s">
        <v>686</v>
      </c>
      <c r="B8" s="9"/>
      <c r="C8" s="9"/>
      <c r="D8" s="9"/>
    </row>
    <row r="9" spans="1:4">
      <c r="A9" s="4" t="s">
        <v>51</v>
      </c>
    </row>
    <row r="10" spans="1:4">
      <c r="A10" s="7" t="s">
        <v>687</v>
      </c>
      <c r="B10" s="9" t="s">
        <v>688</v>
      </c>
      <c r="C10" s="9" t="s">
        <v>679</v>
      </c>
      <c r="D10" s="226" t="s">
        <v>689</v>
      </c>
    </row>
    <row r="11" spans="1:4">
      <c r="A11" s="7" t="s">
        <v>690</v>
      </c>
      <c r="B11" s="9" t="s">
        <v>691</v>
      </c>
      <c r="C11" s="9" t="s">
        <v>512</v>
      </c>
      <c r="D11" s="226" t="s">
        <v>692</v>
      </c>
    </row>
    <row r="12" spans="1:4">
      <c r="A12" s="7" t="s">
        <v>693</v>
      </c>
      <c r="B12" s="9" t="s">
        <v>694</v>
      </c>
      <c r="C12" s="9" t="s">
        <v>679</v>
      </c>
      <c r="D12" s="225" t="s">
        <v>695</v>
      </c>
    </row>
    <row r="13" spans="1:4">
      <c r="A13" s="7" t="s">
        <v>696</v>
      </c>
      <c r="B13" s="9" t="s">
        <v>694</v>
      </c>
      <c r="C13" s="9" t="s">
        <v>679</v>
      </c>
      <c r="D13" s="225" t="s">
        <v>695</v>
      </c>
    </row>
    <row r="14" spans="1:4">
      <c r="A14" s="7" t="s">
        <v>697</v>
      </c>
      <c r="B14" s="9" t="s">
        <v>698</v>
      </c>
      <c r="C14" s="9" t="s">
        <v>679</v>
      </c>
      <c r="D14" s="226" t="s">
        <v>689</v>
      </c>
    </row>
    <row r="15" spans="1:4">
      <c r="A15" s="7" t="s">
        <v>699</v>
      </c>
      <c r="B15" s="9"/>
      <c r="C15" s="9"/>
      <c r="D15" s="9"/>
    </row>
    <row r="16" spans="1:4">
      <c r="A16" s="4" t="s">
        <v>52</v>
      </c>
    </row>
    <row r="17" spans="1:4">
      <c r="A17" s="7" t="s">
        <v>700</v>
      </c>
      <c r="B17" s="9" t="s">
        <v>701</v>
      </c>
      <c r="C17" s="9" t="s">
        <v>512</v>
      </c>
      <c r="D17" s="225" t="s">
        <v>702</v>
      </c>
    </row>
    <row r="18" spans="1:4">
      <c r="A18" s="7" t="s">
        <v>703</v>
      </c>
      <c r="B18" s="9" t="s">
        <v>654</v>
      </c>
      <c r="C18" s="9" t="s">
        <v>512</v>
      </c>
      <c r="D18" s="226" t="s">
        <v>702</v>
      </c>
    </row>
    <row r="19" spans="1:4">
      <c r="A19" s="7" t="s">
        <v>704</v>
      </c>
      <c r="B19" s="9" t="s">
        <v>705</v>
      </c>
      <c r="C19" s="9" t="s">
        <v>706</v>
      </c>
      <c r="D19" s="225" t="s">
        <v>707</v>
      </c>
    </row>
    <row r="20" spans="1:4">
      <c r="A20" s="7" t="s">
        <v>708</v>
      </c>
      <c r="B20" s="9" t="s">
        <v>705</v>
      </c>
      <c r="C20" s="9" t="s">
        <v>706</v>
      </c>
      <c r="D20" s="225" t="s">
        <v>707</v>
      </c>
    </row>
    <row r="21" spans="1:4">
      <c r="A21" s="7" t="s">
        <v>709</v>
      </c>
      <c r="B21" s="9" t="s">
        <v>710</v>
      </c>
      <c r="C21" s="9" t="s">
        <v>512</v>
      </c>
      <c r="D21" s="226" t="s">
        <v>702</v>
      </c>
    </row>
    <row r="22" spans="1:4">
      <c r="A22" s="7" t="s">
        <v>711</v>
      </c>
      <c r="B22" s="9"/>
      <c r="C22" s="9"/>
      <c r="D22" s="9"/>
    </row>
    <row r="23" spans="1:4">
      <c r="A23" s="255" t="s">
        <v>712</v>
      </c>
      <c r="B23" s="256"/>
      <c r="C23" s="257"/>
      <c r="D23" s="258"/>
    </row>
    <row r="24" spans="1:4">
      <c r="A24" s="259" t="s">
        <v>713</v>
      </c>
      <c r="B24" s="256" t="s">
        <v>714</v>
      </c>
      <c r="C24" s="260" t="s">
        <v>715</v>
      </c>
      <c r="D24" s="261" t="s">
        <v>716</v>
      </c>
    </row>
    <row r="25" spans="1:4">
      <c r="A25" s="259" t="s">
        <v>717</v>
      </c>
      <c r="B25" s="256" t="s">
        <v>718</v>
      </c>
      <c r="C25" s="260" t="s">
        <v>719</v>
      </c>
      <c r="D25" s="394" t="s">
        <v>720</v>
      </c>
    </row>
    <row r="26" spans="1:4">
      <c r="A26" s="259" t="s">
        <v>721</v>
      </c>
      <c r="B26" s="256" t="s">
        <v>722</v>
      </c>
      <c r="C26" s="260" t="s">
        <v>715</v>
      </c>
      <c r="D26" s="261" t="s">
        <v>716</v>
      </c>
    </row>
    <row r="27" spans="1:4">
      <c r="A27" s="259" t="s">
        <v>723</v>
      </c>
      <c r="B27" s="256" t="s">
        <v>724</v>
      </c>
      <c r="C27" s="260" t="s">
        <v>715</v>
      </c>
      <c r="D27" s="261" t="s">
        <v>716</v>
      </c>
    </row>
    <row r="28" spans="1:4">
      <c r="A28" s="259" t="s">
        <v>725</v>
      </c>
      <c r="B28" s="256" t="s">
        <v>726</v>
      </c>
      <c r="C28" s="260" t="s">
        <v>715</v>
      </c>
      <c r="D28" s="261" t="s">
        <v>716</v>
      </c>
    </row>
    <row r="29" spans="1:4">
      <c r="A29" s="259" t="s">
        <v>727</v>
      </c>
      <c r="B29" s="256" t="s">
        <v>728</v>
      </c>
      <c r="C29" s="260" t="s">
        <v>719</v>
      </c>
      <c r="D29" s="17" t="s">
        <v>729</v>
      </c>
    </row>
    <row r="30" spans="1:4">
      <c r="A30" s="255" t="s">
        <v>93</v>
      </c>
      <c r="B30" s="256"/>
      <c r="C30" s="257"/>
      <c r="D30" s="258"/>
    </row>
    <row r="31" spans="1:4">
      <c r="A31" s="259" t="s">
        <v>730</v>
      </c>
      <c r="B31" s="256" t="s">
        <v>731</v>
      </c>
      <c r="C31" s="256" t="s">
        <v>719</v>
      </c>
      <c r="D31" s="262" t="s">
        <v>732</v>
      </c>
    </row>
    <row r="32" spans="1:4">
      <c r="A32" s="259" t="s">
        <v>733</v>
      </c>
      <c r="B32" s="256" t="s">
        <v>734</v>
      </c>
      <c r="C32" s="256" t="s">
        <v>719</v>
      </c>
      <c r="D32" s="17" t="s">
        <v>732</v>
      </c>
    </row>
    <row r="33" spans="1:4">
      <c r="A33" s="259" t="s">
        <v>735</v>
      </c>
      <c r="B33" s="256" t="s">
        <v>736</v>
      </c>
      <c r="C33" s="256" t="s">
        <v>719</v>
      </c>
      <c r="D33" s="262" t="s">
        <v>732</v>
      </c>
    </row>
    <row r="34" spans="1:4">
      <c r="A34" s="259" t="s">
        <v>737</v>
      </c>
      <c r="B34" s="256" t="s">
        <v>738</v>
      </c>
      <c r="C34" s="256" t="s">
        <v>719</v>
      </c>
      <c r="D34" s="262" t="s">
        <v>732</v>
      </c>
    </row>
    <row r="35" spans="1:4">
      <c r="A35" s="259" t="s">
        <v>739</v>
      </c>
      <c r="B35" s="256" t="s">
        <v>740</v>
      </c>
      <c r="C35" s="256" t="s">
        <v>719</v>
      </c>
      <c r="D35" s="262" t="s">
        <v>732</v>
      </c>
    </row>
    <row r="36" spans="1:4">
      <c r="A36" s="259" t="s">
        <v>741</v>
      </c>
      <c r="B36" s="256" t="s">
        <v>742</v>
      </c>
      <c r="C36" s="256" t="s">
        <v>719</v>
      </c>
      <c r="D36" s="262" t="s">
        <v>732</v>
      </c>
    </row>
    <row r="37" spans="1:4">
      <c r="A37" s="255" t="s">
        <v>743</v>
      </c>
      <c r="B37" s="256"/>
      <c r="C37" s="257"/>
      <c r="D37" s="258"/>
    </row>
    <row r="38" spans="1:4">
      <c r="A38" s="259" t="s">
        <v>744</v>
      </c>
      <c r="B38" s="256" t="s">
        <v>745</v>
      </c>
      <c r="C38" s="256" t="s">
        <v>719</v>
      </c>
      <c r="D38" s="262" t="s">
        <v>746</v>
      </c>
    </row>
    <row r="39" spans="1:4">
      <c r="A39" s="259" t="s">
        <v>747</v>
      </c>
      <c r="B39" s="256" t="s">
        <v>748</v>
      </c>
      <c r="C39" s="256" t="s">
        <v>719</v>
      </c>
      <c r="D39" s="262" t="s">
        <v>746</v>
      </c>
    </row>
    <row r="40" spans="1:4">
      <c r="A40" s="259" t="s">
        <v>749</v>
      </c>
      <c r="B40" s="256" t="s">
        <v>750</v>
      </c>
      <c r="C40" s="256" t="s">
        <v>715</v>
      </c>
      <c r="D40" s="262" t="s">
        <v>751</v>
      </c>
    </row>
    <row r="41" spans="1:4">
      <c r="A41" s="259" t="s">
        <v>752</v>
      </c>
      <c r="B41" s="256" t="s">
        <v>750</v>
      </c>
      <c r="C41" s="256" t="s">
        <v>715</v>
      </c>
      <c r="D41" s="262" t="s">
        <v>751</v>
      </c>
    </row>
    <row r="42" spans="1:4">
      <c r="A42" s="259" t="s">
        <v>753</v>
      </c>
      <c r="B42" s="256" t="s">
        <v>754</v>
      </c>
      <c r="C42" s="256" t="s">
        <v>719</v>
      </c>
      <c r="D42" s="262" t="s">
        <v>746</v>
      </c>
    </row>
    <row r="43" spans="1:4">
      <c r="A43" s="255" t="s">
        <v>53</v>
      </c>
      <c r="B43" s="256"/>
      <c r="C43" s="257"/>
      <c r="D43" s="258"/>
    </row>
    <row r="44" spans="1:4">
      <c r="A44" s="259" t="s">
        <v>755</v>
      </c>
      <c r="B44" s="256" t="s">
        <v>756</v>
      </c>
      <c r="C44" s="256" t="s">
        <v>719</v>
      </c>
      <c r="D44" s="262" t="s">
        <v>757</v>
      </c>
    </row>
    <row r="45" spans="1:4">
      <c r="A45" s="259" t="s">
        <v>758</v>
      </c>
      <c r="B45" s="256" t="s">
        <v>759</v>
      </c>
      <c r="C45" s="256" t="s">
        <v>719</v>
      </c>
      <c r="D45" s="262" t="s">
        <v>757</v>
      </c>
    </row>
    <row r="46" spans="1:4">
      <c r="A46" s="259" t="s">
        <v>760</v>
      </c>
      <c r="B46" s="256" t="s">
        <v>761</v>
      </c>
      <c r="C46" s="256" t="s">
        <v>715</v>
      </c>
      <c r="D46" s="262" t="s">
        <v>762</v>
      </c>
    </row>
    <row r="47" spans="1:4">
      <c r="A47" s="259" t="s">
        <v>763</v>
      </c>
      <c r="B47" s="256" t="s">
        <v>764</v>
      </c>
      <c r="C47" s="256" t="s">
        <v>715</v>
      </c>
      <c r="D47" s="262" t="s">
        <v>762</v>
      </c>
    </row>
    <row r="48" spans="1:4">
      <c r="A48" s="259" t="s">
        <v>765</v>
      </c>
      <c r="B48" s="256" t="s">
        <v>766</v>
      </c>
      <c r="C48" s="256" t="s">
        <v>719</v>
      </c>
      <c r="D48" s="262" t="s">
        <v>757</v>
      </c>
    </row>
    <row r="49" spans="1:4">
      <c r="A49" s="255" t="s">
        <v>49</v>
      </c>
      <c r="B49" s="256"/>
      <c r="C49" s="257"/>
      <c r="D49" s="258"/>
    </row>
    <row r="50" spans="1:4">
      <c r="A50" s="259" t="s">
        <v>767</v>
      </c>
      <c r="B50" s="256" t="s">
        <v>768</v>
      </c>
      <c r="C50" s="256" t="s">
        <v>719</v>
      </c>
      <c r="D50" s="262" t="s">
        <v>769</v>
      </c>
    </row>
    <row r="51" spans="1:4">
      <c r="A51" s="259" t="s">
        <v>770</v>
      </c>
      <c r="B51" s="256" t="s">
        <v>768</v>
      </c>
      <c r="C51" s="256" t="s">
        <v>719</v>
      </c>
      <c r="D51" s="262" t="s">
        <v>769</v>
      </c>
    </row>
    <row r="52" spans="1:4">
      <c r="A52" s="259" t="s">
        <v>771</v>
      </c>
      <c r="B52" s="256" t="s">
        <v>772</v>
      </c>
      <c r="C52" s="256" t="s">
        <v>593</v>
      </c>
      <c r="D52" s="262" t="s">
        <v>773</v>
      </c>
    </row>
    <row r="53" spans="1:4">
      <c r="A53" s="259" t="s">
        <v>774</v>
      </c>
      <c r="B53" s="256" t="s">
        <v>772</v>
      </c>
      <c r="C53" s="256" t="s">
        <v>593</v>
      </c>
      <c r="D53" s="262" t="s">
        <v>773</v>
      </c>
    </row>
    <row r="54" spans="1:4">
      <c r="A54" s="259" t="s">
        <v>775</v>
      </c>
      <c r="B54" s="256" t="s">
        <v>776</v>
      </c>
      <c r="C54" s="256" t="s">
        <v>719</v>
      </c>
      <c r="D54" s="262" t="s">
        <v>769</v>
      </c>
    </row>
    <row r="55" spans="1:4">
      <c r="A55" s="255" t="s">
        <v>50</v>
      </c>
      <c r="B55" s="256"/>
      <c r="C55" s="257"/>
      <c r="D55" s="258"/>
    </row>
    <row r="56" spans="1:4">
      <c r="A56" s="259" t="s">
        <v>777</v>
      </c>
      <c r="B56" s="256" t="s">
        <v>778</v>
      </c>
      <c r="C56" s="256" t="s">
        <v>719</v>
      </c>
      <c r="D56" s="394" t="s">
        <v>779</v>
      </c>
    </row>
    <row r="57" spans="1:4">
      <c r="A57" s="259" t="s">
        <v>780</v>
      </c>
      <c r="B57" s="256" t="s">
        <v>781</v>
      </c>
      <c r="C57" s="256" t="s">
        <v>719</v>
      </c>
      <c r="D57" s="394" t="s">
        <v>779</v>
      </c>
    </row>
    <row r="58" spans="1:4">
      <c r="A58" s="259" t="s">
        <v>782</v>
      </c>
      <c r="B58" s="256" t="s">
        <v>783</v>
      </c>
      <c r="C58" s="256" t="s">
        <v>593</v>
      </c>
      <c r="D58" s="262" t="s">
        <v>784</v>
      </c>
    </row>
    <row r="59" spans="1:4">
      <c r="A59" s="259" t="s">
        <v>785</v>
      </c>
      <c r="B59" s="256" t="s">
        <v>783</v>
      </c>
      <c r="C59" s="256" t="s">
        <v>593</v>
      </c>
      <c r="D59" s="262" t="s">
        <v>784</v>
      </c>
    </row>
    <row r="60" spans="1:4">
      <c r="A60" s="259" t="s">
        <v>786</v>
      </c>
      <c r="B60" s="256" t="s">
        <v>787</v>
      </c>
      <c r="C60" s="256" t="s">
        <v>719</v>
      </c>
      <c r="D60" s="394" t="s">
        <v>779</v>
      </c>
    </row>
    <row r="61" spans="1:4">
      <c r="A61" s="255" t="s">
        <v>57</v>
      </c>
      <c r="B61" s="256"/>
      <c r="C61" s="257"/>
      <c r="D61" s="258"/>
    </row>
    <row r="62" spans="1:4">
      <c r="A62" s="259" t="s">
        <v>788</v>
      </c>
      <c r="B62" s="256" t="s">
        <v>789</v>
      </c>
      <c r="C62" s="256" t="s">
        <v>719</v>
      </c>
      <c r="D62" s="10" t="s">
        <v>790</v>
      </c>
    </row>
    <row r="63" spans="1:4">
      <c r="A63" s="259" t="s">
        <v>791</v>
      </c>
      <c r="B63" s="256" t="s">
        <v>789</v>
      </c>
      <c r="C63" s="256" t="s">
        <v>719</v>
      </c>
      <c r="D63" s="10" t="s">
        <v>790</v>
      </c>
    </row>
    <row r="64" spans="1:4">
      <c r="A64" s="259" t="s">
        <v>792</v>
      </c>
      <c r="B64" s="256" t="s">
        <v>783</v>
      </c>
      <c r="C64" s="256" t="s">
        <v>593</v>
      </c>
      <c r="D64" s="10" t="s">
        <v>793</v>
      </c>
    </row>
    <row r="65" spans="1:4">
      <c r="A65" s="259" t="s">
        <v>794</v>
      </c>
      <c r="B65" s="256" t="s">
        <v>783</v>
      </c>
      <c r="C65" s="256" t="s">
        <v>593</v>
      </c>
      <c r="D65" s="10" t="s">
        <v>793</v>
      </c>
    </row>
    <row r="66" spans="1:4">
      <c r="A66" s="259" t="s">
        <v>795</v>
      </c>
      <c r="B66" s="256" t="s">
        <v>796</v>
      </c>
      <c r="C66" s="256" t="s">
        <v>719</v>
      </c>
      <c r="D66" s="10" t="s">
        <v>790</v>
      </c>
    </row>
    <row r="67" spans="1:4">
      <c r="A67" s="255" t="s">
        <v>58</v>
      </c>
      <c r="B67" s="256"/>
      <c r="C67" s="257"/>
      <c r="D67" s="258"/>
    </row>
    <row r="68" spans="1:4">
      <c r="A68" s="259" t="s">
        <v>797</v>
      </c>
      <c r="B68" s="256" t="s">
        <v>798</v>
      </c>
      <c r="C68" s="256" t="s">
        <v>719</v>
      </c>
      <c r="D68" s="10" t="s">
        <v>799</v>
      </c>
    </row>
    <row r="69" spans="1:4">
      <c r="A69" s="259" t="s">
        <v>800</v>
      </c>
      <c r="B69" s="256" t="s">
        <v>798</v>
      </c>
      <c r="C69" s="256" t="s">
        <v>719</v>
      </c>
      <c r="D69" s="10" t="s">
        <v>799</v>
      </c>
    </row>
    <row r="70" spans="1:4">
      <c r="A70" s="259" t="s">
        <v>801</v>
      </c>
      <c r="B70" s="256" t="s">
        <v>802</v>
      </c>
      <c r="C70" s="256" t="s">
        <v>593</v>
      </c>
      <c r="D70" s="403" t="s">
        <v>803</v>
      </c>
    </row>
    <row r="71" spans="1:4">
      <c r="A71" s="259" t="s">
        <v>804</v>
      </c>
      <c r="B71" s="256" t="s">
        <v>802</v>
      </c>
      <c r="C71" s="256" t="s">
        <v>593</v>
      </c>
      <c r="D71" s="417" t="s">
        <v>803</v>
      </c>
    </row>
    <row r="72" spans="1:4">
      <c r="A72" s="259" t="s">
        <v>805</v>
      </c>
      <c r="B72" s="256" t="s">
        <v>806</v>
      </c>
      <c r="C72" s="256" t="s">
        <v>719</v>
      </c>
      <c r="D72" s="10" t="s">
        <v>799</v>
      </c>
    </row>
    <row r="73" spans="1:4">
      <c r="A73" s="255" t="s">
        <v>59</v>
      </c>
      <c r="B73" s="256"/>
      <c r="C73" s="257"/>
      <c r="D73" s="258"/>
    </row>
    <row r="74" spans="1:4">
      <c r="A74" s="259" t="s">
        <v>807</v>
      </c>
      <c r="B74" s="256" t="s">
        <v>808</v>
      </c>
      <c r="C74" s="256" t="s">
        <v>512</v>
      </c>
      <c r="D74" s="394" t="s">
        <v>809</v>
      </c>
    </row>
    <row r="75" spans="1:4">
      <c r="A75" s="259" t="s">
        <v>810</v>
      </c>
      <c r="B75" s="256" t="s">
        <v>811</v>
      </c>
      <c r="C75" s="256" t="s">
        <v>679</v>
      </c>
      <c r="D75" s="394" t="s">
        <v>812</v>
      </c>
    </row>
    <row r="76" spans="1:4">
      <c r="A76" s="259" t="s">
        <v>813</v>
      </c>
      <c r="B76" s="256" t="s">
        <v>811</v>
      </c>
      <c r="C76" s="256" t="s">
        <v>679</v>
      </c>
      <c r="D76" s="262" t="s">
        <v>812</v>
      </c>
    </row>
    <row r="77" spans="1:4">
      <c r="A77" s="259" t="s">
        <v>814</v>
      </c>
      <c r="B77" s="256" t="s">
        <v>815</v>
      </c>
      <c r="C77" s="256" t="s">
        <v>679</v>
      </c>
      <c r="D77" s="417" t="s">
        <v>812</v>
      </c>
    </row>
    <row r="78" spans="1:4">
      <c r="A78" s="259" t="s">
        <v>816</v>
      </c>
      <c r="B78" s="256" t="s">
        <v>811</v>
      </c>
      <c r="C78" s="256"/>
      <c r="D78" s="417" t="s">
        <v>812</v>
      </c>
    </row>
    <row r="79" spans="1:4">
      <c r="A79" s="259" t="s">
        <v>817</v>
      </c>
      <c r="B79" s="256"/>
      <c r="C79" s="256"/>
      <c r="D79" s="394" t="s">
        <v>812</v>
      </c>
    </row>
    <row r="80" spans="1:4">
      <c r="A80" s="255" t="s">
        <v>60</v>
      </c>
      <c r="B80" s="256"/>
      <c r="C80" s="257"/>
      <c r="D80" s="258"/>
    </row>
    <row r="81" spans="1:4">
      <c r="A81" s="259" t="s">
        <v>818</v>
      </c>
      <c r="B81" s="256" t="s">
        <v>798</v>
      </c>
      <c r="C81" s="256" t="s">
        <v>819</v>
      </c>
      <c r="D81" s="403" t="s">
        <v>820</v>
      </c>
    </row>
    <row r="82" spans="1:4">
      <c r="A82" s="259" t="s">
        <v>821</v>
      </c>
      <c r="B82" s="256" t="s">
        <v>822</v>
      </c>
      <c r="C82" s="256" t="s">
        <v>679</v>
      </c>
      <c r="D82" s="403" t="s">
        <v>820</v>
      </c>
    </row>
    <row r="83" spans="1:4">
      <c r="A83" s="259" t="s">
        <v>823</v>
      </c>
      <c r="B83" s="256" t="s">
        <v>822</v>
      </c>
      <c r="C83" s="256" t="s">
        <v>679</v>
      </c>
      <c r="D83" s="403" t="s">
        <v>820</v>
      </c>
    </row>
    <row r="84" spans="1:4">
      <c r="A84" s="259" t="s">
        <v>824</v>
      </c>
      <c r="B84" s="256" t="s">
        <v>798</v>
      </c>
      <c r="C84" s="256" t="s">
        <v>679</v>
      </c>
      <c r="D84" s="403" t="s">
        <v>820</v>
      </c>
    </row>
    <row r="85" spans="1:4">
      <c r="A85" s="259" t="s">
        <v>825</v>
      </c>
      <c r="B85" s="256" t="s">
        <v>826</v>
      </c>
      <c r="C85" s="256" t="s">
        <v>827</v>
      </c>
      <c r="D85" s="403" t="s">
        <v>828</v>
      </c>
    </row>
  </sheetData>
  <sheetProtection algorithmName="SHA-512" hashValue="gQQVMJwa0Dqe1VAZObzmg6v3u7niL8EmfFU66ouSA7n/M6kEhv/IobP+zGm9zMGEVv44kRdmJ5pbcyTWZEsYYQ==" saltValue="tFWI88/OWpfoTcskrXdQYQ==" spinCount="100000" sheet="1" objects="1" scenarios="1" selectLockedCells="1" selectUnlockedCells="1"/>
  <phoneticPr fontId="15" type="noConversion"/>
  <hyperlinks>
    <hyperlink ref="D3" r:id="rId1" xr:uid="{E7CAED6E-E6BA-4B62-9F4E-8E7549470067}"/>
    <hyperlink ref="D5" r:id="rId2" xr:uid="{B5D39FE8-105E-4573-A25C-D381BC06AB20}"/>
    <hyperlink ref="D6" r:id="rId3" xr:uid="{8B8588BA-9022-4A54-BD7B-B3740FCC61EB}"/>
    <hyperlink ref="D7" r:id="rId4" xr:uid="{C356DB31-02C5-4015-AA3C-34823CB06328}"/>
    <hyperlink ref="D14" r:id="rId5" location="page=25&amp;zoom=z" xr:uid="{706E0B88-566E-485C-844F-20EDFB81CA21}"/>
    <hyperlink ref="D4" r:id="rId6" xr:uid="{7066E16F-41EC-4DC3-B34B-4815607A7035}"/>
    <hyperlink ref="D56" r:id="rId7" xr:uid="{D87EED96-83EA-1345-A5D4-40AD7D9DC5FB}"/>
    <hyperlink ref="D57" r:id="rId8" xr:uid="{2ED97FCE-88F2-FA47-86A0-54527E9DD046}"/>
    <hyperlink ref="D60" r:id="rId9" xr:uid="{F74A9F6E-247C-DA4F-9137-C5BF93EB5530}"/>
    <hyperlink ref="D10" r:id="rId10" location="page=25&amp;zoom=z" display="https://www.ubs.com/content/dam/assets/cc/investor-relations/annual-report/2019/epaper/pillar-3/en/index.html - page=25&amp;zoom=z" xr:uid="{6BEA61B5-C8EA-4259-BE75-91E8784B5F0F}"/>
    <hyperlink ref="D29" r:id="rId11" xr:uid="{179A5FCB-BEED-0E4A-874E-F823E76D9A66}"/>
    <hyperlink ref="D32" r:id="rId12" xr:uid="{04403346-E057-4B42-AEE2-860E2B470656}"/>
    <hyperlink ref="D25" r:id="rId13" xr:uid="{34E47AE5-FF32-2D47-8E15-77CC97B13E35}"/>
    <hyperlink ref="D81" r:id="rId14" xr:uid="{DE53A3E3-77F0-472E-8D47-8A3C93566523}"/>
    <hyperlink ref="D82:D84" r:id="rId15" display="https://pic.bankofchina.com/bocappd/uk/202009/P020200909535865685853.pdf" xr:uid="{83BE5A55-D42B-4F56-83F1-992265E885FF}"/>
    <hyperlink ref="D21" r:id="rId16" xr:uid="{5A7E04D4-A023-42BA-8B0C-901FBBBF2047}"/>
    <hyperlink ref="D62" r:id="rId17" xr:uid="{20C899CA-00FF-4435-9E18-0D848989618D}"/>
    <hyperlink ref="D64" r:id="rId18" xr:uid="{136A9071-5560-44A8-8728-CAEF1B97867D}"/>
    <hyperlink ref="D65" r:id="rId19" xr:uid="{B85B4C4D-FE39-4B97-98D6-E6CA1AF3A21F}"/>
    <hyperlink ref="D71" r:id="rId20" xr:uid="{DCE9BE24-F97D-45C1-9434-A083DB7CBF40}"/>
    <hyperlink ref="D68" r:id="rId21" xr:uid="{8D901C89-0F9E-4D45-955A-F86406FB2D98}"/>
    <hyperlink ref="D70" r:id="rId22" xr:uid="{E88DAA95-65C4-467C-86C4-F5C7AA16F476}"/>
    <hyperlink ref="D63" r:id="rId23" xr:uid="{2DC6104E-7A3E-49F8-A72E-CFB4063BEE11}"/>
    <hyperlink ref="D69" r:id="rId24" xr:uid="{34E5461A-A230-4EA6-BFF4-3C7C0199CAD6}"/>
    <hyperlink ref="D72" r:id="rId25" xr:uid="{7F6853F8-0878-48A2-914F-FF339931525D}"/>
    <hyperlink ref="D66" r:id="rId26" xr:uid="{399EF9AB-546E-4D84-B781-3E71D30EC22A}"/>
    <hyperlink ref="D85" r:id="rId27" xr:uid="{F1BED89F-2542-486A-B9C4-7C1F4D1452E2}"/>
    <hyperlink ref="D77" r:id="rId28" xr:uid="{1C22ADC2-DD52-43A3-BB5C-367BC78281F3}"/>
    <hyperlink ref="D78" r:id="rId29" xr:uid="{3F106270-8FE6-40C3-A56D-03D7F0461287}"/>
    <hyperlink ref="D18" r:id="rId30" xr:uid="{5896113D-EDCB-BF43-B796-2E09C4451264}"/>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40A6AB1F4514F944741392AA8A4EA" ma:contentTypeVersion="10" ma:contentTypeDescription="Crée un document." ma:contentTypeScope="" ma:versionID="70e74be90d6cffaa48a00667ce993f82">
  <xsd:schema xmlns:xsd="http://www.w3.org/2001/XMLSchema" xmlns:xs="http://www.w3.org/2001/XMLSchema" xmlns:p="http://schemas.microsoft.com/office/2006/metadata/properties" xmlns:ns2="6ffb6cb3-0029-480f-ae0e-5b2f87ac7131" xmlns:ns3="9482e6a1-e0e0-4e77-bade-bfae7ae47aec" targetNamespace="http://schemas.microsoft.com/office/2006/metadata/properties" ma:root="true" ma:fieldsID="c8553a89620c7746f0e9e593119809c8" ns2:_="" ns3:_="">
    <xsd:import namespace="6ffb6cb3-0029-480f-ae0e-5b2f87ac7131"/>
    <xsd:import namespace="9482e6a1-e0e0-4e77-bade-bfae7ae47ae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fb6cb3-0029-480f-ae0e-5b2f87ac71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482e6a1-e0e0-4e77-bade-bfae7ae47aec"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513025-CA05-41FF-B51B-10E380686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fb6cb3-0029-480f-ae0e-5b2f87ac7131"/>
    <ds:schemaRef ds:uri="9482e6a1-e0e0-4e77-bade-bfae7ae47a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6E4D29-361D-48F3-85F3-163EE05520E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A8A7F85-6394-4051-85A9-76F74348AC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Euro Zone Data</vt:lpstr>
      <vt:lpstr>€ Zone Details</vt:lpstr>
      <vt:lpstr>INT Zone Data</vt:lpstr>
      <vt:lpstr>INT Zone Details</vt:lpstr>
      <vt:lpstr>Industry breakdown</vt:lpstr>
      <vt:lpstr>Distribution Keys</vt:lpstr>
      <vt:lpstr>Particularités</vt:lpstr>
      <vt:lpstr>Sources EU</vt:lpstr>
      <vt:lpstr>Sources INT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 Microsoft Office</dc:creator>
  <cp:keywords/>
  <dc:description/>
  <cp:lastModifiedBy>Christian</cp:lastModifiedBy>
  <cp:revision/>
  <dcterms:created xsi:type="dcterms:W3CDTF">2020-12-21T18:26:48Z</dcterms:created>
  <dcterms:modified xsi:type="dcterms:W3CDTF">2021-05-31T14:56:45Z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0x01010009840A6AB1F4514F944741392AA8A4EA</vt:lpwstr>
  </property>
</Properties>
</file>